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don Barnes\My ShareSync\DATA\2024 Board of Directors\Mar 2024 meeting docs\"/>
    </mc:Choice>
  </mc:AlternateContent>
  <xr:revisionPtr revIDLastSave="0" documentId="8_{86FE881F-7C21-4230-9880-0EB781172781}" xr6:coauthVersionLast="47" xr6:coauthVersionMax="47" xr10:uidLastSave="{00000000-0000-0000-0000-000000000000}"/>
  <bookViews>
    <workbookView xWindow="3210" yWindow="1080" windowWidth="20400" windowHeight="12345" tabRatio="601"/>
  </bookViews>
  <sheets>
    <sheet name="Balance Sheet" sheetId="5" r:id="rId1"/>
    <sheet name="Income Stmt" sheetId="4" r:id="rId2"/>
  </sheets>
  <definedNames>
    <definedName name="CHANGE">#REF!</definedName>
    <definedName name="MAIN">'Balance Sheet'!$A$1:$O$56</definedName>
    <definedName name="_xlnm.Print_Area" localSheetId="0">'Balance Sheet'!$A$1:$O$57</definedName>
    <definedName name="_xlnm.Print_Area" localSheetId="1">'Income Stmt'!$A$1:$T$92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0" i="4" l="1"/>
  <c r="G84" i="4"/>
  <c r="G65" i="4"/>
  <c r="G66" i="4"/>
  <c r="G67" i="4"/>
  <c r="G68" i="4"/>
  <c r="G69" i="4"/>
  <c r="G70" i="4"/>
  <c r="G71" i="4"/>
  <c r="G72" i="4"/>
  <c r="G73" i="4"/>
  <c r="T73" i="4" s="1"/>
  <c r="G74" i="4"/>
  <c r="G75" i="4"/>
  <c r="G76" i="4"/>
  <c r="G77" i="4"/>
  <c r="T77" i="4" s="1"/>
  <c r="G78" i="4"/>
  <c r="G79" i="4"/>
  <c r="G80" i="4"/>
  <c r="G81" i="4"/>
  <c r="G82" i="4"/>
  <c r="G83" i="4"/>
  <c r="G64" i="4"/>
  <c r="G63" i="4"/>
  <c r="G88" i="4" s="1"/>
  <c r="G36" i="4" s="1"/>
  <c r="H36" i="4" s="1"/>
  <c r="G48" i="4"/>
  <c r="G47" i="4"/>
  <c r="G46" i="4"/>
  <c r="F30" i="4"/>
  <c r="F32" i="4" s="1"/>
  <c r="H32" i="4" s="1"/>
  <c r="F29" i="4"/>
  <c r="F25" i="4"/>
  <c r="F13" i="4"/>
  <c r="D70" i="4"/>
  <c r="D66" i="4"/>
  <c r="D64" i="4"/>
  <c r="D63" i="4"/>
  <c r="E50" i="4"/>
  <c r="C25" i="4"/>
  <c r="M47" i="5"/>
  <c r="M10" i="5"/>
  <c r="M9" i="5"/>
  <c r="O19" i="5"/>
  <c r="O21" i="5" s="1"/>
  <c r="O10" i="5"/>
  <c r="O9" i="5"/>
  <c r="O13" i="5"/>
  <c r="T13" i="4"/>
  <c r="E55" i="4"/>
  <c r="R70" i="4"/>
  <c r="J66" i="4"/>
  <c r="T64" i="4"/>
  <c r="E25" i="4"/>
  <c r="S70" i="4"/>
  <c r="S66" i="4"/>
  <c r="S64" i="4"/>
  <c r="S88" i="4" s="1"/>
  <c r="M19" i="5"/>
  <c r="M21" i="5" s="1"/>
  <c r="M32" i="5" s="1"/>
  <c r="E47" i="4"/>
  <c r="R47" i="4" s="1"/>
  <c r="H52" i="4"/>
  <c r="H47" i="4"/>
  <c r="H48" i="4"/>
  <c r="T48" i="4" s="1"/>
  <c r="Q48" i="4"/>
  <c r="Q46" i="4"/>
  <c r="E46" i="4"/>
  <c r="T46" i="4" s="1"/>
  <c r="Q47" i="4"/>
  <c r="H50" i="4"/>
  <c r="T65" i="4"/>
  <c r="T67" i="4"/>
  <c r="T68" i="4"/>
  <c r="T69" i="4"/>
  <c r="T71" i="4"/>
  <c r="T72" i="4"/>
  <c r="T74" i="4"/>
  <c r="T75" i="4"/>
  <c r="T76" i="4"/>
  <c r="T78" i="4"/>
  <c r="T79" i="4"/>
  <c r="T80" i="4"/>
  <c r="T81" i="4"/>
  <c r="T82" i="4"/>
  <c r="T83" i="4"/>
  <c r="H46" i="4"/>
  <c r="F31" i="4"/>
  <c r="H31" i="4"/>
  <c r="H30" i="4"/>
  <c r="H29" i="4"/>
  <c r="F26" i="4"/>
  <c r="H25" i="4"/>
  <c r="H13" i="4"/>
  <c r="G12" i="4"/>
  <c r="G14" i="4" s="1"/>
  <c r="F12" i="4"/>
  <c r="M30" i="5"/>
  <c r="Q43" i="4"/>
  <c r="Q44" i="4" s="1"/>
  <c r="E52" i="4"/>
  <c r="E43" i="4"/>
  <c r="E44" i="4" s="1"/>
  <c r="E10" i="4"/>
  <c r="T10" i="4" s="1"/>
  <c r="T42" i="4"/>
  <c r="Q88" i="4"/>
  <c r="P36" i="4" s="1"/>
  <c r="Q36" i="4" s="1"/>
  <c r="R36" i="4" s="1"/>
  <c r="S36" i="4" s="1"/>
  <c r="Q8" i="4"/>
  <c r="Q9" i="4"/>
  <c r="R9" i="4"/>
  <c r="Q10" i="4"/>
  <c r="Q11" i="4"/>
  <c r="Q12" i="4"/>
  <c r="Q13" i="4"/>
  <c r="S13" i="4" s="1"/>
  <c r="Q18" i="4"/>
  <c r="Q22" i="4" s="1"/>
  <c r="Q19" i="4"/>
  <c r="Q20" i="4"/>
  <c r="O27" i="4"/>
  <c r="Q27" i="4"/>
  <c r="O32" i="4"/>
  <c r="Q32" i="4" s="1"/>
  <c r="Q42" i="4"/>
  <c r="E18" i="4"/>
  <c r="T18" i="4"/>
  <c r="H18" i="4"/>
  <c r="E19" i="4"/>
  <c r="G19" i="4"/>
  <c r="H19" i="4" s="1"/>
  <c r="H22" i="4" s="1"/>
  <c r="E20" i="4"/>
  <c r="E8" i="4"/>
  <c r="H8" i="4"/>
  <c r="T8" i="4" s="1"/>
  <c r="T84" i="4"/>
  <c r="E31" i="4"/>
  <c r="T31" i="4"/>
  <c r="E30" i="4"/>
  <c r="R30" i="4" s="1"/>
  <c r="E29" i="4"/>
  <c r="R29" i="4"/>
  <c r="E26" i="4"/>
  <c r="H26" i="4"/>
  <c r="T26" i="4"/>
  <c r="T27" i="4" s="1"/>
  <c r="E13" i="4"/>
  <c r="E11" i="4"/>
  <c r="T11" i="4" s="1"/>
  <c r="E12" i="4"/>
  <c r="R12" i="4"/>
  <c r="E9" i="4"/>
  <c r="T9" i="4" s="1"/>
  <c r="H9" i="4"/>
  <c r="O22" i="4"/>
  <c r="J90" i="4"/>
  <c r="K47" i="4" s="1"/>
  <c r="J84" i="4"/>
  <c r="J65" i="4"/>
  <c r="J68" i="4"/>
  <c r="J69" i="4"/>
  <c r="J73" i="4"/>
  <c r="J74" i="4"/>
  <c r="J75" i="4"/>
  <c r="J76" i="4"/>
  <c r="J77" i="4"/>
  <c r="J78" i="4"/>
  <c r="J79" i="4"/>
  <c r="J80" i="4"/>
  <c r="J82" i="4"/>
  <c r="S47" i="4"/>
  <c r="Q31" i="4"/>
  <c r="Q30" i="4"/>
  <c r="S30" i="4" s="1"/>
  <c r="Q29" i="4"/>
  <c r="Q26" i="4"/>
  <c r="S26" i="4" s="1"/>
  <c r="Q25" i="4"/>
  <c r="S25" i="4" s="1"/>
  <c r="I13" i="4"/>
  <c r="K13" i="4" s="1"/>
  <c r="J13" i="4"/>
  <c r="I9" i="4"/>
  <c r="I14" i="4" s="1"/>
  <c r="J9" i="4"/>
  <c r="I8" i="4"/>
  <c r="J8" i="4"/>
  <c r="K8" i="4" s="1"/>
  <c r="T85" i="4"/>
  <c r="T86" i="4"/>
  <c r="D22" i="4"/>
  <c r="C22" i="4"/>
  <c r="C38" i="4" s="1"/>
  <c r="C32" i="4"/>
  <c r="E32" i="4"/>
  <c r="S78" i="4"/>
  <c r="R78" i="4"/>
  <c r="S76" i="4"/>
  <c r="R76" i="4"/>
  <c r="P22" i="4"/>
  <c r="R22" i="4"/>
  <c r="S22" i="4"/>
  <c r="J71" i="4"/>
  <c r="J72" i="4"/>
  <c r="J81" i="4"/>
  <c r="J83" i="4"/>
  <c r="J85" i="4"/>
  <c r="J86" i="4"/>
  <c r="J12" i="4"/>
  <c r="K12" i="4" s="1"/>
  <c r="I12" i="4"/>
  <c r="I11" i="4"/>
  <c r="K11" i="4" s="1"/>
  <c r="J11" i="4"/>
  <c r="I25" i="4"/>
  <c r="I27" i="4" s="1"/>
  <c r="K27" i="4" s="1"/>
  <c r="P14" i="4"/>
  <c r="O14" i="4"/>
  <c r="O38" i="4" s="1"/>
  <c r="F22" i="4"/>
  <c r="D14" i="4"/>
  <c r="C14" i="4"/>
  <c r="I22" i="4"/>
  <c r="J22" i="4"/>
  <c r="K22" i="4"/>
  <c r="S72" i="4"/>
  <c r="S73" i="4"/>
  <c r="S74" i="4"/>
  <c r="S77" i="4"/>
  <c r="S81" i="4"/>
  <c r="S82" i="4"/>
  <c r="S83" i="4"/>
  <c r="S80" i="4"/>
  <c r="S65" i="4"/>
  <c r="S68" i="4"/>
  <c r="S69" i="4"/>
  <c r="S71" i="4"/>
  <c r="S75" i="4"/>
  <c r="S79" i="4"/>
  <c r="S84" i="4"/>
  <c r="S86" i="4"/>
  <c r="S85" i="4"/>
  <c r="R68" i="4"/>
  <c r="R84" i="4"/>
  <c r="R90" i="4"/>
  <c r="R83" i="4"/>
  <c r="R82" i="4"/>
  <c r="R81" i="4"/>
  <c r="R80" i="4"/>
  <c r="R79" i="4"/>
  <c r="R77" i="4"/>
  <c r="R75" i="4"/>
  <c r="R74" i="4"/>
  <c r="R73" i="4"/>
  <c r="R72" i="4"/>
  <c r="R71" i="4"/>
  <c r="R69" i="4"/>
  <c r="R65" i="4"/>
  <c r="H10" i="4"/>
  <c r="H43" i="4"/>
  <c r="H44" i="4"/>
  <c r="H11" i="4"/>
  <c r="F27" i="4"/>
  <c r="H27" i="4" s="1"/>
  <c r="S8" i="4"/>
  <c r="R63" i="4"/>
  <c r="S63" i="4"/>
  <c r="S11" i="4"/>
  <c r="H12" i="4"/>
  <c r="T12" i="4" s="1"/>
  <c r="S29" i="4"/>
  <c r="R8" i="4"/>
  <c r="T20" i="4"/>
  <c r="R11" i="4"/>
  <c r="T90" i="4"/>
  <c r="R64" i="4"/>
  <c r="J70" i="4"/>
  <c r="T70" i="4"/>
  <c r="R66" i="4"/>
  <c r="T66" i="4"/>
  <c r="S12" i="4"/>
  <c r="S15" i="4" s="1"/>
  <c r="J64" i="4"/>
  <c r="J88" i="4" s="1"/>
  <c r="J36" i="4" s="1"/>
  <c r="K36" i="4" s="1"/>
  <c r="S9" i="4"/>
  <c r="F14" i="4"/>
  <c r="D88" i="4"/>
  <c r="D36" i="4"/>
  <c r="J63" i="4"/>
  <c r="C27" i="4"/>
  <c r="E27" i="4"/>
  <c r="R27" i="4" s="1"/>
  <c r="E15" i="4"/>
  <c r="M13" i="5"/>
  <c r="M49" i="5"/>
  <c r="M54" i="5"/>
  <c r="T52" i="4"/>
  <c r="E36" i="4"/>
  <c r="R88" i="4"/>
  <c r="D38" i="4"/>
  <c r="J14" i="4"/>
  <c r="I29" i="4"/>
  <c r="T29" i="4"/>
  <c r="T25" i="4"/>
  <c r="R32" i="4" l="1"/>
  <c r="S27" i="4"/>
  <c r="S34" i="4" s="1"/>
  <c r="S40" i="4" s="1"/>
  <c r="S46" i="4" s="1"/>
  <c r="S50" i="4" s="1"/>
  <c r="T15" i="4"/>
  <c r="J38" i="4"/>
  <c r="T44" i="4"/>
  <c r="R44" i="4"/>
  <c r="S32" i="4"/>
  <c r="S44" i="4"/>
  <c r="K44" i="4"/>
  <c r="I38" i="4"/>
  <c r="T19" i="4"/>
  <c r="T22" i="4" s="1"/>
  <c r="P38" i="4"/>
  <c r="R15" i="4"/>
  <c r="H15" i="4"/>
  <c r="H34" i="4" s="1"/>
  <c r="H40" i="4" s="1"/>
  <c r="H51" i="4" s="1"/>
  <c r="H53" i="4" s="1"/>
  <c r="R13" i="4"/>
  <c r="K9" i="4"/>
  <c r="K15" i="4" s="1"/>
  <c r="K34" i="4" s="1"/>
  <c r="K40" i="4" s="1"/>
  <c r="K46" i="4" s="1"/>
  <c r="K50" i="4" s="1"/>
  <c r="E22" i="4"/>
  <c r="E34" i="4" s="1"/>
  <c r="T50" i="4"/>
  <c r="R25" i="4"/>
  <c r="T63" i="4"/>
  <c r="T88" i="4" s="1"/>
  <c r="T36" i="4" s="1"/>
  <c r="Q15" i="4"/>
  <c r="Q34" i="4" s="1"/>
  <c r="Q40" i="4" s="1"/>
  <c r="Q51" i="4" s="1"/>
  <c r="F38" i="4"/>
  <c r="T47" i="4"/>
  <c r="G22" i="4"/>
  <c r="G38" i="4" s="1"/>
  <c r="I30" i="4"/>
  <c r="I32" i="4" s="1"/>
  <c r="K32" i="4" s="1"/>
  <c r="T30" i="4"/>
  <c r="T32" i="4" s="1"/>
  <c r="R34" i="4" l="1"/>
  <c r="E40" i="4"/>
  <c r="T34" i="4"/>
  <c r="T40" i="4" s="1"/>
  <c r="T51" i="4" s="1"/>
  <c r="R46" i="4"/>
  <c r="Q53" i="4"/>
  <c r="R50" i="4" s="1"/>
  <c r="R40" i="4" l="1"/>
  <c r="E51" i="4"/>
  <c r="E53" i="4" s="1"/>
  <c r="T53" i="4" l="1"/>
  <c r="E56" i="4"/>
</calcChain>
</file>

<file path=xl/sharedStrings.xml><?xml version="1.0" encoding="utf-8"?>
<sst xmlns="http://schemas.openxmlformats.org/spreadsheetml/2006/main" count="162" uniqueCount="129">
  <si>
    <t>Government Relations</t>
  </si>
  <si>
    <t>Marketing &amp; Communications</t>
  </si>
  <si>
    <t>Rent</t>
  </si>
  <si>
    <t>Telephone</t>
  </si>
  <si>
    <t>Depreciation</t>
  </si>
  <si>
    <t>Business &amp; Liability Insurance</t>
  </si>
  <si>
    <t>Taxes &amp; Licenses</t>
  </si>
  <si>
    <t>Program:</t>
  </si>
  <si>
    <t>Revenue</t>
  </si>
  <si>
    <t>Proceeds from programs</t>
  </si>
  <si>
    <t>Membership:</t>
  </si>
  <si>
    <t xml:space="preserve">     PEAC</t>
  </si>
  <si>
    <t>Board/Committees</t>
  </si>
  <si>
    <t>Postage &amp; Courier</t>
  </si>
  <si>
    <t>Equipment Repairs/Contracts</t>
  </si>
  <si>
    <t>Office/Computer Supplies</t>
  </si>
  <si>
    <t>Bank Credit Merchant Fees</t>
  </si>
  <si>
    <t>Training &amp; Development</t>
  </si>
  <si>
    <t>Dues &amp; Subscriptions</t>
  </si>
  <si>
    <t>Salaries and fringe benefits</t>
  </si>
  <si>
    <t>Costs</t>
  </si>
  <si>
    <t>Expenses:</t>
  </si>
  <si>
    <t>Total revenue net of direct costs</t>
  </si>
  <si>
    <t>Membership</t>
  </si>
  <si>
    <t>Net</t>
  </si>
  <si>
    <t>Total operating revenue and cost</t>
  </si>
  <si>
    <t>Net revenue before depreciation</t>
  </si>
  <si>
    <t>Net Revenue</t>
  </si>
  <si>
    <t>General revenue sources:</t>
  </si>
  <si>
    <t>Educational programs</t>
  </si>
  <si>
    <t>Miscellaneous</t>
  </si>
  <si>
    <t>AMERICAN ASSOCIATION FOR HOMECARE</t>
  </si>
  <si>
    <t>Audit, Finance</t>
  </si>
  <si>
    <t xml:space="preserve"> </t>
  </si>
  <si>
    <t>STATEMENT OF FINANCIAL POSITION</t>
  </si>
  <si>
    <t>ASSETS</t>
  </si>
  <si>
    <t>CURRENT ASSETS</t>
  </si>
  <si>
    <t>Cash and cash equivalents</t>
  </si>
  <si>
    <t>Investments</t>
  </si>
  <si>
    <t>Accounts receivable</t>
  </si>
  <si>
    <t>Prepaid expenses</t>
  </si>
  <si>
    <t>Total current assets</t>
  </si>
  <si>
    <t>PROPERTY</t>
  </si>
  <si>
    <t>Office furniture and fixtures</t>
  </si>
  <si>
    <t>Computer equipment and software</t>
  </si>
  <si>
    <t>Leasehold improvements</t>
  </si>
  <si>
    <t>Total cost</t>
  </si>
  <si>
    <t>Accumulated depreciation</t>
  </si>
  <si>
    <t>Total property, net</t>
  </si>
  <si>
    <t>OTHER ASSETS</t>
  </si>
  <si>
    <t>Deposits</t>
  </si>
  <si>
    <t>Total other assets</t>
  </si>
  <si>
    <t>Total assets</t>
  </si>
  <si>
    <t>LIABILITIES AND UNRESTRICTED NET ASSETS</t>
  </si>
  <si>
    <t>CURRENT LIABILITIES</t>
  </si>
  <si>
    <t>Accounts payable</t>
  </si>
  <si>
    <t xml:space="preserve">Accrued payroll and related costs </t>
  </si>
  <si>
    <t>Deferred revenue</t>
  </si>
  <si>
    <t>Public Education and Awareness Campaign</t>
  </si>
  <si>
    <t>Total liabilities</t>
  </si>
  <si>
    <t>UNRESTRICTED NET ASSETS</t>
  </si>
  <si>
    <t>Total liabilities and unrestricted net assets</t>
  </si>
  <si>
    <t>Membership dues - renewal</t>
  </si>
  <si>
    <t>Year-to-Date Actual</t>
  </si>
  <si>
    <t>Budget</t>
  </si>
  <si>
    <t>Actual</t>
  </si>
  <si>
    <t>Projected</t>
  </si>
  <si>
    <t>Annual budget</t>
  </si>
  <si>
    <t>Percentage of budget</t>
  </si>
  <si>
    <t xml:space="preserve">     Renewal dues</t>
  </si>
  <si>
    <t xml:space="preserve">     New members</t>
  </si>
  <si>
    <t>Loss on disposal of fixed assets</t>
  </si>
  <si>
    <t>Prior year expenses</t>
  </si>
  <si>
    <t>Annual</t>
  </si>
  <si>
    <t>Special Project:</t>
  </si>
  <si>
    <t>Varience</t>
  </si>
  <si>
    <t xml:space="preserve">Projected </t>
  </si>
  <si>
    <t>to budget</t>
  </si>
  <si>
    <t>Special Projects</t>
  </si>
  <si>
    <t>Interest &amp; dividends, net of fees</t>
  </si>
  <si>
    <t>Projected Feb - Dec</t>
  </si>
  <si>
    <t>GR Consultants</t>
  </si>
  <si>
    <t>Capital gains (losses)</t>
  </si>
  <si>
    <t>Year to</t>
  </si>
  <si>
    <t>Date</t>
  </si>
  <si>
    <t>Staff Travel</t>
  </si>
  <si>
    <t>Entertainment</t>
  </si>
  <si>
    <t>Printing</t>
  </si>
  <si>
    <t>Unrestricted Net Assets</t>
  </si>
  <si>
    <t xml:space="preserve">    Beginning of  Year</t>
  </si>
  <si>
    <t xml:space="preserve">    End of Year</t>
  </si>
  <si>
    <t>Due from Homecare, LLC</t>
  </si>
  <si>
    <t>Trademarks</t>
  </si>
  <si>
    <t>Membership dues - New</t>
  </si>
  <si>
    <t>Accrued Other</t>
  </si>
  <si>
    <t>Other Revenue</t>
  </si>
  <si>
    <t>Actual to</t>
  </si>
  <si>
    <t>Deferred Rent Abatement</t>
  </si>
  <si>
    <t>Stand Up for Homecare</t>
  </si>
  <si>
    <t>Medtrade Fixed Royalties</t>
  </si>
  <si>
    <t>Medtrade Fall</t>
  </si>
  <si>
    <t>Medtrade Spring</t>
  </si>
  <si>
    <t>Washington Legislative Conference</t>
  </si>
  <si>
    <t>Member products</t>
  </si>
  <si>
    <t>Special Project/Studies</t>
  </si>
  <si>
    <t>Net revenue before capital gains and depr</t>
  </si>
  <si>
    <t>General &amp; Administrative Expenses**</t>
  </si>
  <si>
    <t>** (See page 2 total)</t>
  </si>
  <si>
    <t xml:space="preserve">    Fundraising Expenses</t>
  </si>
  <si>
    <t xml:space="preserve">    Program Expenditures</t>
  </si>
  <si>
    <t>YTD Budget</t>
  </si>
  <si>
    <t>Investment in NAIMES &amp; NAMES SERVICES, INC.</t>
  </si>
  <si>
    <t>Financial Analysis</t>
  </si>
  <si>
    <t>Legal  &amp; Other Consultants</t>
  </si>
  <si>
    <t>Other Revenue/Expense</t>
  </si>
  <si>
    <t>Bridge PA</t>
  </si>
  <si>
    <t>The Nickles Group</t>
  </si>
  <si>
    <t>`</t>
  </si>
  <si>
    <t>Right of Use Asset</t>
  </si>
  <si>
    <t>Lease Liability</t>
  </si>
  <si>
    <t xml:space="preserve">Management has elected to omit substantially all disclosures and the financial statements aren't designed for those </t>
  </si>
  <si>
    <t>who are not informed about such matters.</t>
  </si>
  <si>
    <t>YTD Actual vs</t>
  </si>
  <si>
    <t>February 29, 2024 and 2023</t>
  </si>
  <si>
    <t>Keybridge/PR Videos/Brand Council</t>
  </si>
  <si>
    <t>2/29/2023</t>
  </si>
  <si>
    <t>Feb 2023 Actual</t>
  </si>
  <si>
    <t>MS Lobbyist</t>
  </si>
  <si>
    <t>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</si>
</sst>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70" formatCode="_(&quot;$&quot;* #,##0_);_(&quot;$&quot;* \(#,##0\);_(&quot;$&quot;* &quot;-&quot;??_);_(@_)"/>
    <numFmt numFmtId="171" formatCode="mmmm\ d\,\ yyyy"/>
    <numFmt numFmtId="176" formatCode="_(* #,##0_);_(* \(#,##0\);_(* &quot;-&quot;??_);_(@_)"/>
  </numFmts>
  <fonts count="1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u val="singleAccounting"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 val="doubleAccounting"/>
      <sz val="10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u/>
      <sz val="11"/>
      <name val="Arial"/>
      <family val="2"/>
    </font>
    <font>
      <u val="singleAccounting"/>
      <sz val="11"/>
      <name val="Arial"/>
      <family val="2"/>
    </font>
    <font>
      <u val="doubleAccounting"/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u val="singleAccounting"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7" fontId="7" fillId="0" borderId="0"/>
  </cellStyleXfs>
  <cellXfs count="126">
    <xf numFmtId="0" fontId="0" fillId="0" borderId="0" xfId="0"/>
    <xf numFmtId="0" fontId="2" fillId="0" borderId="0" xfId="0" applyFont="1"/>
    <xf numFmtId="41" fontId="0" fillId="0" borderId="0" xfId="0" applyNumberForma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41" fontId="0" fillId="0" borderId="2" xfId="0" applyNumberFormat="1" applyBorder="1"/>
    <xf numFmtId="42" fontId="0" fillId="0" borderId="2" xfId="0" applyNumberFormat="1" applyBorder="1"/>
    <xf numFmtId="42" fontId="0" fillId="0" borderId="0" xfId="0" applyNumberFormat="1"/>
    <xf numFmtId="41" fontId="3" fillId="0" borderId="2" xfId="0" applyNumberFormat="1" applyFont="1" applyBorder="1"/>
    <xf numFmtId="41" fontId="3" fillId="0" borderId="0" xfId="0" applyNumberFormat="1" applyFont="1"/>
    <xf numFmtId="41" fontId="0" fillId="0" borderId="3" xfId="0" applyNumberFormat="1" applyBorder="1"/>
    <xf numFmtId="41" fontId="0" fillId="0" borderId="4" xfId="0" applyNumberFormat="1" applyBorder="1"/>
    <xf numFmtId="41" fontId="4" fillId="0" borderId="0" xfId="0" applyNumberFormat="1" applyFont="1"/>
    <xf numFmtId="41" fontId="2" fillId="0" borderId="0" xfId="0" applyNumberFormat="1" applyFont="1"/>
    <xf numFmtId="42" fontId="6" fillId="0" borderId="4" xfId="0" applyNumberFormat="1" applyFont="1" applyBorder="1"/>
    <xf numFmtId="0" fontId="0" fillId="0" borderId="0" xfId="0" quotePrefix="1" applyAlignment="1">
      <alignment horizontal="left"/>
    </xf>
    <xf numFmtId="0" fontId="2" fillId="0" borderId="0" xfId="0" applyFont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1" fontId="4" fillId="0" borderId="2" xfId="0" applyNumberFormat="1" applyFont="1" applyBorder="1"/>
    <xf numFmtId="37" fontId="7" fillId="0" borderId="0" xfId="3"/>
    <xf numFmtId="37" fontId="7" fillId="0" borderId="0" xfId="3" applyAlignment="1">
      <alignment horizontal="centerContinuous"/>
    </xf>
    <xf numFmtId="41" fontId="7" fillId="0" borderId="0" xfId="3" applyNumberFormat="1" applyAlignment="1">
      <alignment horizontal="centerContinuous"/>
    </xf>
    <xf numFmtId="41" fontId="7" fillId="0" borderId="0" xfId="3" applyNumberFormat="1"/>
    <xf numFmtId="0" fontId="7" fillId="0" borderId="0" xfId="3" applyNumberFormat="1"/>
    <xf numFmtId="42" fontId="7" fillId="0" borderId="0" xfId="3" applyNumberFormat="1"/>
    <xf numFmtId="41" fontId="10" fillId="0" borderId="0" xfId="3" applyNumberFormat="1" applyFont="1"/>
    <xf numFmtId="42" fontId="11" fillId="0" borderId="0" xfId="3" applyNumberFormat="1" applyFont="1"/>
    <xf numFmtId="37" fontId="7" fillId="0" borderId="0" xfId="3" quotePrefix="1" applyAlignment="1">
      <alignment horizontal="left"/>
    </xf>
    <xf numFmtId="171" fontId="2" fillId="0" borderId="0" xfId="0" applyNumberFormat="1" applyFont="1" applyAlignment="1">
      <alignment horizontal="left"/>
    </xf>
    <xf numFmtId="0" fontId="2" fillId="0" borderId="4" xfId="0" applyFont="1" applyBorder="1"/>
    <xf numFmtId="41" fontId="0" fillId="0" borderId="7" xfId="0" applyNumberFormat="1" applyBorder="1"/>
    <xf numFmtId="0" fontId="0" fillId="0" borderId="4" xfId="0" applyBorder="1"/>
    <xf numFmtId="0" fontId="0" fillId="0" borderId="8" xfId="0" applyBorder="1"/>
    <xf numFmtId="41" fontId="0" fillId="0" borderId="8" xfId="0" applyNumberFormat="1" applyBorder="1"/>
    <xf numFmtId="42" fontId="0" fillId="0" borderId="8" xfId="0" applyNumberFormat="1" applyBorder="1"/>
    <xf numFmtId="0" fontId="0" fillId="0" borderId="8" xfId="0" quotePrefix="1" applyBorder="1" applyAlignment="1">
      <alignment horizontal="left"/>
    </xf>
    <xf numFmtId="42" fontId="6" fillId="0" borderId="8" xfId="0" applyNumberFormat="1" applyFont="1" applyBorder="1"/>
    <xf numFmtId="0" fontId="5" fillId="0" borderId="9" xfId="0" applyFont="1" applyBorder="1" applyAlignment="1">
      <alignment horizontal="center"/>
    </xf>
    <xf numFmtId="42" fontId="0" fillId="0" borderId="4" xfId="0" applyNumberFormat="1" applyBorder="1"/>
    <xf numFmtId="0" fontId="5" fillId="0" borderId="7" xfId="0" applyFont="1" applyBorder="1" applyAlignment="1">
      <alignment horizontal="center"/>
    </xf>
    <xf numFmtId="41" fontId="3" fillId="0" borderId="7" xfId="0" applyNumberFormat="1" applyFont="1" applyBorder="1"/>
    <xf numFmtId="41" fontId="4" fillId="0" borderId="7" xfId="0" applyNumberFormat="1" applyFont="1" applyBorder="1"/>
    <xf numFmtId="42" fontId="0" fillId="0" borderId="7" xfId="0" applyNumberFormat="1" applyBorder="1"/>
    <xf numFmtId="41" fontId="2" fillId="0" borderId="7" xfId="0" applyNumberFormat="1" applyFont="1" applyBorder="1"/>
    <xf numFmtId="0" fontId="0" fillId="0" borderId="2" xfId="0" applyBorder="1"/>
    <xf numFmtId="0" fontId="0" fillId="0" borderId="10" xfId="0" applyBorder="1"/>
    <xf numFmtId="41" fontId="3" fillId="0" borderId="4" xfId="0" applyNumberFormat="1" applyFont="1" applyBorder="1"/>
    <xf numFmtId="10" fontId="0" fillId="0" borderId="11" xfId="0" applyNumberFormat="1" applyBorder="1"/>
    <xf numFmtId="41" fontId="3" fillId="0" borderId="8" xfId="0" applyNumberFormat="1" applyFont="1" applyBorder="1"/>
    <xf numFmtId="10" fontId="0" fillId="0" borderId="12" xfId="0" applyNumberFormat="1" applyBorder="1"/>
    <xf numFmtId="10" fontId="0" fillId="0" borderId="0" xfId="0" applyNumberFormat="1"/>
    <xf numFmtId="10" fontId="0" fillId="0" borderId="1" xfId="0" applyNumberFormat="1" applyBorder="1"/>
    <xf numFmtId="41" fontId="2" fillId="0" borderId="10" xfId="0" applyNumberFormat="1" applyFont="1" applyBorder="1" applyAlignment="1">
      <alignment horizontal="center"/>
    </xf>
    <xf numFmtId="0" fontId="0" fillId="0" borderId="11" xfId="0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2" fontId="0" fillId="0" borderId="11" xfId="0" applyNumberFormat="1" applyBorder="1"/>
    <xf numFmtId="41" fontId="0" fillId="0" borderId="11" xfId="0" applyNumberFormat="1" applyBorder="1"/>
    <xf numFmtId="41" fontId="3" fillId="0" borderId="11" xfId="0" applyNumberFormat="1" applyFont="1" applyBorder="1"/>
    <xf numFmtId="41" fontId="12" fillId="0" borderId="11" xfId="0" applyNumberFormat="1" applyFont="1" applyBorder="1"/>
    <xf numFmtId="41" fontId="4" fillId="0" borderId="11" xfId="0" applyNumberFormat="1" applyFont="1" applyBorder="1"/>
    <xf numFmtId="0" fontId="0" fillId="0" borderId="1" xfId="0" applyBorder="1"/>
    <xf numFmtId="42" fontId="0" fillId="0" borderId="1" xfId="0" applyNumberFormat="1" applyBorder="1"/>
    <xf numFmtId="41" fontId="0" fillId="0" borderId="1" xfId="0" applyNumberFormat="1" applyBorder="1"/>
    <xf numFmtId="41" fontId="3" fillId="0" borderId="1" xfId="0" applyNumberFormat="1" applyFont="1" applyBorder="1"/>
    <xf numFmtId="42" fontId="3" fillId="0" borderId="1" xfId="0" applyNumberFormat="1" applyFont="1" applyBorder="1"/>
    <xf numFmtId="44" fontId="3" fillId="0" borderId="1" xfId="0" applyNumberFormat="1" applyFont="1" applyBorder="1"/>
    <xf numFmtId="41" fontId="14" fillId="0" borderId="2" xfId="0" applyNumberFormat="1" applyFont="1" applyBorder="1"/>
    <xf numFmtId="41" fontId="14" fillId="0" borderId="8" xfId="0" applyNumberFormat="1" applyFont="1" applyBorder="1"/>
    <xf numFmtId="41" fontId="14" fillId="0" borderId="11" xfId="0" applyNumberFormat="1" applyFont="1" applyBorder="1"/>
    <xf numFmtId="0" fontId="0" fillId="0" borderId="7" xfId="0" applyBorder="1"/>
    <xf numFmtId="41" fontId="14" fillId="0" borderId="1" xfId="0" applyNumberFormat="1" applyFont="1" applyBorder="1"/>
    <xf numFmtId="42" fontId="14" fillId="0" borderId="1" xfId="0" applyNumberFormat="1" applyFont="1" applyBorder="1"/>
    <xf numFmtId="0" fontId="4" fillId="0" borderId="0" xfId="0" quotePrefix="1" applyFont="1" applyAlignment="1">
      <alignment horizontal="left"/>
    </xf>
    <xf numFmtId="41" fontId="2" fillId="0" borderId="11" xfId="0" applyNumberFormat="1" applyFont="1" applyBorder="1" applyAlignment="1">
      <alignment horizontal="center"/>
    </xf>
    <xf numFmtId="14" fontId="2" fillId="0" borderId="12" xfId="0" applyNumberFormat="1" applyFont="1" applyBorder="1" applyAlignment="1">
      <alignment horizontal="center"/>
    </xf>
    <xf numFmtId="41" fontId="14" fillId="0" borderId="4" xfId="0" applyNumberFormat="1" applyFont="1" applyBorder="1"/>
    <xf numFmtId="10" fontId="14" fillId="0" borderId="12" xfId="0" applyNumberFormat="1" applyFont="1" applyBorder="1"/>
    <xf numFmtId="0" fontId="7" fillId="0" borderId="4" xfId="3" applyNumberFormat="1" applyBorder="1" applyAlignment="1">
      <alignment horizontal="center"/>
    </xf>
    <xf numFmtId="41" fontId="14" fillId="0" borderId="0" xfId="0" applyNumberFormat="1" applyFont="1"/>
    <xf numFmtId="41" fontId="14" fillId="0" borderId="7" xfId="0" applyNumberFormat="1" applyFont="1" applyBorder="1"/>
    <xf numFmtId="176" fontId="0" fillId="0" borderId="8" xfId="1" applyNumberFormat="1" applyFont="1" applyBorder="1"/>
    <xf numFmtId="176" fontId="14" fillId="0" borderId="8" xfId="1" applyNumberFormat="1" applyFont="1" applyBorder="1"/>
    <xf numFmtId="42" fontId="6" fillId="0" borderId="0" xfId="0" applyNumberFormat="1" applyFont="1"/>
    <xf numFmtId="42" fontId="6" fillId="0" borderId="13" xfId="0" applyNumberFormat="1" applyFont="1" applyBorder="1"/>
    <xf numFmtId="176" fontId="0" fillId="0" borderId="2" xfId="1" applyNumberFormat="1" applyFont="1" applyBorder="1"/>
    <xf numFmtId="41" fontId="7" fillId="0" borderId="4" xfId="3" applyNumberFormat="1" applyBorder="1"/>
    <xf numFmtId="176" fontId="14" fillId="0" borderId="0" xfId="1" applyNumberFormat="1" applyFont="1"/>
    <xf numFmtId="41" fontId="2" fillId="0" borderId="11" xfId="0" applyNumberFormat="1" applyFont="1" applyBorder="1"/>
    <xf numFmtId="170" fontId="0" fillId="0" borderId="11" xfId="2" applyNumberFormat="1" applyFont="1" applyBorder="1"/>
    <xf numFmtId="176" fontId="0" fillId="0" borderId="0" xfId="1" applyNumberFormat="1" applyFont="1"/>
    <xf numFmtId="10" fontId="0" fillId="0" borderId="4" xfId="0" applyNumberFormat="1" applyBorder="1"/>
    <xf numFmtId="10" fontId="0" fillId="0" borderId="7" xfId="0" applyNumberFormat="1" applyBorder="1"/>
    <xf numFmtId="176" fontId="3" fillId="0" borderId="7" xfId="1" applyNumberFormat="1" applyFont="1" applyBorder="1"/>
    <xf numFmtId="42" fontId="3" fillId="0" borderId="4" xfId="0" applyNumberFormat="1" applyFont="1" applyBorder="1"/>
    <xf numFmtId="42" fontId="3" fillId="0" borderId="12" xfId="0" applyNumberFormat="1" applyFont="1" applyBorder="1"/>
    <xf numFmtId="17" fontId="2" fillId="0" borderId="10" xfId="0" applyNumberFormat="1" applyFont="1" applyBorder="1" applyAlignment="1">
      <alignment horizontal="center"/>
    </xf>
    <xf numFmtId="1" fontId="2" fillId="0" borderId="11" xfId="0" quotePrefix="1" applyNumberFormat="1" applyFont="1" applyBorder="1" applyAlignment="1">
      <alignment horizontal="center"/>
    </xf>
    <xf numFmtId="176" fontId="0" fillId="0" borderId="0" xfId="0" applyNumberFormat="1"/>
    <xf numFmtId="37" fontId="15" fillId="0" borderId="0" xfId="3" applyFont="1"/>
    <xf numFmtId="44" fontId="0" fillId="0" borderId="0" xfId="0" applyNumberFormat="1"/>
    <xf numFmtId="43" fontId="0" fillId="0" borderId="0" xfId="0" applyNumberFormat="1"/>
    <xf numFmtId="41" fontId="0" fillId="0" borderId="0" xfId="0" applyNumberFormat="1" applyBorder="1"/>
    <xf numFmtId="10" fontId="0" fillId="0" borderId="0" xfId="0" applyNumberFormat="1" applyBorder="1"/>
    <xf numFmtId="41" fontId="3" fillId="0" borderId="0" xfId="0" applyNumberFormat="1" applyFont="1" applyBorder="1"/>
    <xf numFmtId="37" fontId="4" fillId="0" borderId="0" xfId="3" applyFont="1"/>
    <xf numFmtId="41" fontId="4" fillId="0" borderId="0" xfId="3" applyNumberFormat="1" applyFont="1"/>
    <xf numFmtId="37" fontId="8" fillId="0" borderId="0" xfId="3" applyFont="1" applyAlignment="1">
      <alignment horizontal="center"/>
    </xf>
    <xf numFmtId="37" fontId="7" fillId="0" borderId="0" xfId="3" quotePrefix="1" applyAlignment="1">
      <alignment horizontal="center"/>
    </xf>
    <xf numFmtId="37" fontId="7" fillId="0" borderId="0" xfId="3" applyAlignment="1">
      <alignment horizontal="center"/>
    </xf>
    <xf numFmtId="171" fontId="9" fillId="0" borderId="0" xfId="3" quotePrefix="1" applyNumberFormat="1" applyFont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4" fillId="0" borderId="12" xfId="0" applyFont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2" fillId="0" borderId="14" xfId="0" quotePrefix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7" fontId="2" fillId="0" borderId="14" xfId="0" applyNumberFormat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_Sept99f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141"/>
  <sheetViews>
    <sheetView tabSelected="1" zoomScaleNormal="100" workbookViewId="0">
      <selection activeCell="M52" sqref="M52"/>
    </sheetView>
  </sheetViews>
  <sheetFormatPr defaultColWidth="11" defaultRowHeight="14.25" x14ac:dyDescent="0.2"/>
  <cols>
    <col min="1" max="1" width="3.28515625" style="22" customWidth="1"/>
    <col min="2" max="4" width="3" style="22" customWidth="1"/>
    <col min="5" max="5" width="19" style="22" customWidth="1"/>
    <col min="6" max="6" width="4.140625" style="22" customWidth="1"/>
    <col min="7" max="7" width="1.85546875" style="22" customWidth="1"/>
    <col min="8" max="8" width="9.85546875" style="22" customWidth="1"/>
    <col min="9" max="9" width="4.140625" style="22" customWidth="1"/>
    <col min="10" max="10" width="1.85546875" style="22" customWidth="1"/>
    <col min="11" max="11" width="6.42578125" style="22" customWidth="1"/>
    <col min="12" max="12" width="1.85546875" style="22" customWidth="1"/>
    <col min="13" max="13" width="14.85546875" style="22" customWidth="1"/>
    <col min="14" max="14" width="1.85546875" style="22" customWidth="1"/>
    <col min="15" max="15" width="14.85546875" style="22" customWidth="1"/>
    <col min="16" max="16" width="12.140625" style="22" customWidth="1"/>
    <col min="17" max="17" width="4.140625" style="22" customWidth="1"/>
    <col min="18" max="18" width="1.85546875" style="22" customWidth="1"/>
    <col min="19" max="19" width="11" style="22"/>
    <col min="20" max="20" width="5.28515625" style="22" customWidth="1"/>
    <col min="21" max="16384" width="11" style="22"/>
  </cols>
  <sheetData>
    <row r="1" spans="1:15" ht="15.95" customHeight="1" x14ac:dyDescent="0.25">
      <c r="A1" s="111" t="s">
        <v>31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5" ht="15.95" customHeight="1" x14ac:dyDescent="0.2">
      <c r="A2" s="112" t="s">
        <v>34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 ht="15.95" customHeight="1" x14ac:dyDescent="0.2">
      <c r="A3" s="114" t="s">
        <v>123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</row>
    <row r="4" spans="1:15" ht="9.9499999999999993" customHeight="1" x14ac:dyDescent="0.2">
      <c r="M4" s="25"/>
      <c r="N4" s="25"/>
      <c r="O4" s="25"/>
    </row>
    <row r="5" spans="1:15" ht="15.95" customHeight="1" x14ac:dyDescent="0.2">
      <c r="A5" s="113" t="s">
        <v>35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15" ht="9.9499999999999993" customHeight="1" x14ac:dyDescent="0.2">
      <c r="M6" s="25"/>
      <c r="N6" s="25"/>
      <c r="O6" s="25"/>
    </row>
    <row r="7" spans="1:15" ht="15.95" customHeight="1" x14ac:dyDescent="0.2">
      <c r="M7" s="82">
        <v>2024</v>
      </c>
      <c r="N7" s="26"/>
      <c r="O7" s="82">
        <v>2023</v>
      </c>
    </row>
    <row r="8" spans="1:15" ht="15.95" customHeight="1" x14ac:dyDescent="0.2">
      <c r="A8" s="22" t="s">
        <v>36</v>
      </c>
      <c r="M8" s="25" t="s">
        <v>33</v>
      </c>
      <c r="N8" s="25"/>
      <c r="O8" s="25" t="s">
        <v>33</v>
      </c>
    </row>
    <row r="9" spans="1:15" ht="15.95" customHeight="1" x14ac:dyDescent="0.2">
      <c r="B9" s="22" t="s">
        <v>37</v>
      </c>
      <c r="M9" s="27">
        <f>3788834+103.89+1289</f>
        <v>3790226.89</v>
      </c>
      <c r="N9" s="27"/>
      <c r="O9" s="27">
        <f>2933795.95+103.89+2727</f>
        <v>2936626.8400000003</v>
      </c>
    </row>
    <row r="10" spans="1:15" ht="15.95" customHeight="1" x14ac:dyDescent="0.2">
      <c r="B10" s="22" t="s">
        <v>38</v>
      </c>
      <c r="M10" s="25">
        <f>412577+7121561</f>
        <v>7534138</v>
      </c>
      <c r="N10" s="25"/>
      <c r="O10" s="25">
        <f>332243+6332148</f>
        <v>6664391</v>
      </c>
    </row>
    <row r="11" spans="1:15" ht="14.25" customHeight="1" x14ac:dyDescent="0.2">
      <c r="B11" s="22" t="s">
        <v>39</v>
      </c>
      <c r="M11" s="25">
        <v>298377</v>
      </c>
      <c r="N11" s="25"/>
      <c r="O11" s="25">
        <v>401425</v>
      </c>
    </row>
    <row r="12" spans="1:15" ht="15.95" customHeight="1" x14ac:dyDescent="0.35">
      <c r="B12" s="22" t="s">
        <v>40</v>
      </c>
      <c r="M12" s="28">
        <v>68193</v>
      </c>
      <c r="N12" s="25"/>
      <c r="O12" s="28">
        <v>71998</v>
      </c>
    </row>
    <row r="13" spans="1:15" ht="15.95" customHeight="1" x14ac:dyDescent="0.35">
      <c r="D13" s="22" t="s">
        <v>41</v>
      </c>
      <c r="M13" s="28">
        <f>SUM(M9:M12)</f>
        <v>11690934.890000001</v>
      </c>
      <c r="N13" s="25"/>
      <c r="O13" s="28">
        <f>SUM(O9:O12)</f>
        <v>10074440.84</v>
      </c>
    </row>
    <row r="14" spans="1:15" ht="9.9499999999999993" customHeight="1" x14ac:dyDescent="0.2">
      <c r="M14" s="25"/>
      <c r="N14" s="25"/>
      <c r="O14" s="25"/>
    </row>
    <row r="15" spans="1:15" ht="15.95" customHeight="1" x14ac:dyDescent="0.2">
      <c r="A15" s="22" t="s">
        <v>42</v>
      </c>
      <c r="M15" s="25"/>
      <c r="N15" s="25"/>
      <c r="O15" s="25"/>
    </row>
    <row r="16" spans="1:15" ht="15.95" customHeight="1" x14ac:dyDescent="0.2">
      <c r="B16" s="22" t="s">
        <v>43</v>
      </c>
      <c r="M16" s="25">
        <v>67928</v>
      </c>
      <c r="N16" s="25"/>
      <c r="O16" s="25">
        <v>78489</v>
      </c>
    </row>
    <row r="17" spans="1:15" ht="15.95" customHeight="1" x14ac:dyDescent="0.2">
      <c r="B17" s="22" t="s">
        <v>44</v>
      </c>
      <c r="M17" s="25">
        <v>117554</v>
      </c>
      <c r="N17" s="25"/>
      <c r="O17" s="25">
        <v>92636</v>
      </c>
    </row>
    <row r="18" spans="1:15" ht="15.95" customHeight="1" x14ac:dyDescent="0.35">
      <c r="B18" s="22" t="s">
        <v>45</v>
      </c>
      <c r="M18" s="28">
        <v>13869</v>
      </c>
      <c r="N18" s="25"/>
      <c r="O18" s="28">
        <v>5933</v>
      </c>
    </row>
    <row r="19" spans="1:15" ht="15.95" customHeight="1" x14ac:dyDescent="0.2">
      <c r="D19" s="22" t="s">
        <v>46</v>
      </c>
      <c r="M19" s="25">
        <f>SUM(M16:M18)</f>
        <v>199351</v>
      </c>
      <c r="N19" s="25"/>
      <c r="O19" s="25">
        <f>SUM(O16:O18)</f>
        <v>177058</v>
      </c>
    </row>
    <row r="20" spans="1:15" ht="15.95" customHeight="1" x14ac:dyDescent="0.35">
      <c r="B20" s="22" t="s">
        <v>47</v>
      </c>
      <c r="M20" s="28">
        <v>-156180</v>
      </c>
      <c r="N20" s="25"/>
      <c r="O20" s="28">
        <v>-150892</v>
      </c>
    </row>
    <row r="21" spans="1:15" ht="15.95" customHeight="1" x14ac:dyDescent="0.35">
      <c r="D21" s="22" t="s">
        <v>48</v>
      </c>
      <c r="M21" s="28">
        <f>M19+M20</f>
        <v>43171</v>
      </c>
      <c r="N21" s="25"/>
      <c r="O21" s="28">
        <f>O19+O20</f>
        <v>26166</v>
      </c>
    </row>
    <row r="22" spans="1:15" ht="9.9499999999999993" customHeight="1" x14ac:dyDescent="0.35">
      <c r="M22" s="28"/>
      <c r="N22" s="25"/>
      <c r="O22" s="28"/>
    </row>
    <row r="23" spans="1:15" ht="15.95" customHeight="1" x14ac:dyDescent="0.2">
      <c r="B23" s="22" t="s">
        <v>92</v>
      </c>
      <c r="M23" s="90">
        <v>8670.5</v>
      </c>
      <c r="N23" s="25"/>
      <c r="O23" s="90">
        <v>8670.5</v>
      </c>
    </row>
    <row r="24" spans="1:15" ht="9.9499999999999993" customHeight="1" x14ac:dyDescent="0.2">
      <c r="M24" s="25"/>
      <c r="N24" s="25"/>
      <c r="O24" s="25"/>
    </row>
    <row r="25" spans="1:15" ht="15.95" customHeight="1" x14ac:dyDescent="0.2">
      <c r="A25" s="22" t="s">
        <v>49</v>
      </c>
      <c r="M25" s="25"/>
      <c r="N25" s="25"/>
      <c r="O25" s="25"/>
    </row>
    <row r="26" spans="1:15" ht="15.95" customHeight="1" x14ac:dyDescent="0.2">
      <c r="B26" s="22" t="s">
        <v>91</v>
      </c>
      <c r="M26" s="25">
        <v>22770</v>
      </c>
      <c r="N26" s="25"/>
      <c r="O26" s="25">
        <v>22770</v>
      </c>
    </row>
    <row r="27" spans="1:15" ht="15.95" customHeight="1" x14ac:dyDescent="0.2">
      <c r="B27" s="22" t="s">
        <v>111</v>
      </c>
      <c r="M27" s="25">
        <v>605</v>
      </c>
      <c r="N27" s="25"/>
      <c r="O27" s="25">
        <v>605</v>
      </c>
    </row>
    <row r="28" spans="1:15" ht="15.95" customHeight="1" x14ac:dyDescent="0.2">
      <c r="B28" s="109" t="s">
        <v>118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10">
        <v>167768</v>
      </c>
      <c r="N28" s="110"/>
      <c r="O28" s="110"/>
    </row>
    <row r="29" spans="1:15" ht="15.95" customHeight="1" x14ac:dyDescent="0.35">
      <c r="B29" s="22" t="s">
        <v>50</v>
      </c>
      <c r="M29" s="28">
        <v>49921</v>
      </c>
      <c r="N29" s="25"/>
      <c r="O29" s="28">
        <v>49921</v>
      </c>
    </row>
    <row r="30" spans="1:15" ht="15.95" customHeight="1" x14ac:dyDescent="0.35">
      <c r="D30" s="22" t="s">
        <v>51</v>
      </c>
      <c r="M30" s="28">
        <f>SUM(M26:M29)</f>
        <v>241064</v>
      </c>
      <c r="N30" s="25"/>
      <c r="O30" s="28">
        <v>73296</v>
      </c>
    </row>
    <row r="31" spans="1:15" ht="9.9499999999999993" customHeight="1" x14ac:dyDescent="0.2">
      <c r="M31" s="25"/>
      <c r="N31" s="25"/>
      <c r="O31" s="25"/>
    </row>
    <row r="32" spans="1:15" ht="15.95" customHeight="1" x14ac:dyDescent="0.35">
      <c r="D32" s="22" t="s">
        <v>52</v>
      </c>
      <c r="M32" s="29">
        <f>M30+M21+M13+M23</f>
        <v>11983840.390000001</v>
      </c>
      <c r="N32" s="27"/>
      <c r="O32" s="29">
        <v>10182573.34</v>
      </c>
    </row>
    <row r="33" spans="1:15" ht="9.9499999999999993" customHeight="1" x14ac:dyDescent="0.2">
      <c r="M33" s="25"/>
      <c r="N33" s="25"/>
      <c r="O33" s="25"/>
    </row>
    <row r="34" spans="1:15" ht="9.9499999999999993" customHeight="1" x14ac:dyDescent="0.2">
      <c r="M34" s="25"/>
      <c r="N34" s="25"/>
      <c r="O34" s="25"/>
    </row>
    <row r="35" spans="1:15" ht="15.95" customHeight="1" x14ac:dyDescent="0.2">
      <c r="A35" s="23" t="s">
        <v>53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4"/>
      <c r="N35" s="24"/>
      <c r="O35" s="24"/>
    </row>
    <row r="36" spans="1:15" ht="9.9499999999999993" customHeight="1" x14ac:dyDescent="0.2">
      <c r="M36" s="25"/>
      <c r="N36" s="25"/>
      <c r="O36" s="25"/>
    </row>
    <row r="37" spans="1:15" ht="15.95" customHeight="1" x14ac:dyDescent="0.2">
      <c r="A37" s="22" t="s">
        <v>54</v>
      </c>
      <c r="M37" s="25"/>
      <c r="N37" s="25"/>
      <c r="O37" s="25"/>
    </row>
    <row r="38" spans="1:15" ht="15.95" customHeight="1" x14ac:dyDescent="0.2">
      <c r="B38" s="22" t="s">
        <v>55</v>
      </c>
      <c r="M38" s="27">
        <v>8101</v>
      </c>
      <c r="N38" s="27"/>
      <c r="O38" s="27">
        <v>8718</v>
      </c>
    </row>
    <row r="39" spans="1:15" ht="15.95" customHeight="1" x14ac:dyDescent="0.2">
      <c r="B39" s="22" t="s">
        <v>56</v>
      </c>
      <c r="M39" s="25">
        <v>349395</v>
      </c>
      <c r="N39" s="25"/>
      <c r="O39" s="25">
        <v>124770</v>
      </c>
    </row>
    <row r="40" spans="1:15" ht="15.95" customHeight="1" x14ac:dyDescent="0.2">
      <c r="B40" s="22" t="s">
        <v>94</v>
      </c>
      <c r="M40" s="25"/>
      <c r="N40" s="25"/>
      <c r="O40" s="25">
        <v>80800</v>
      </c>
    </row>
    <row r="41" spans="1:15" ht="15.95" customHeight="1" x14ac:dyDescent="0.2">
      <c r="B41" s="22" t="s">
        <v>57</v>
      </c>
      <c r="M41" s="25"/>
      <c r="N41" s="25"/>
      <c r="O41" s="25"/>
    </row>
    <row r="42" spans="1:15" ht="15.75" customHeight="1" x14ac:dyDescent="0.2">
      <c r="C42" s="30" t="s">
        <v>62</v>
      </c>
      <c r="M42" s="25">
        <v>1235642</v>
      </c>
      <c r="N42" s="25"/>
      <c r="O42" s="25">
        <v>1049995</v>
      </c>
    </row>
    <row r="43" spans="1:15" ht="15.95" customHeight="1" x14ac:dyDescent="0.2">
      <c r="C43" s="30" t="s">
        <v>93</v>
      </c>
      <c r="M43" s="25">
        <v>82895</v>
      </c>
      <c r="N43" s="25"/>
      <c r="O43" s="25">
        <v>58167</v>
      </c>
    </row>
    <row r="44" spans="1:15" ht="15.95" customHeight="1" x14ac:dyDescent="0.2">
      <c r="C44" s="22" t="s">
        <v>58</v>
      </c>
      <c r="M44" s="25">
        <v>1671</v>
      </c>
      <c r="N44" s="25"/>
      <c r="O44" s="25">
        <v>613</v>
      </c>
    </row>
    <row r="45" spans="1:15" ht="15.95" customHeight="1" x14ac:dyDescent="0.2">
      <c r="C45" s="22" t="s">
        <v>97</v>
      </c>
      <c r="M45" s="25"/>
      <c r="N45" s="25"/>
      <c r="O45" s="25">
        <v>6537</v>
      </c>
    </row>
    <row r="46" spans="1:15" ht="15.95" customHeight="1" x14ac:dyDescent="0.2">
      <c r="C46" s="22" t="s">
        <v>119</v>
      </c>
      <c r="M46" s="25">
        <v>184321</v>
      </c>
      <c r="N46" s="25"/>
      <c r="O46" s="25"/>
    </row>
    <row r="47" spans="1:15" ht="15.95" customHeight="1" x14ac:dyDescent="0.2">
      <c r="C47" s="22" t="s">
        <v>95</v>
      </c>
      <c r="M47" s="90">
        <f>28350+516</f>
        <v>28866</v>
      </c>
      <c r="N47" s="25"/>
      <c r="O47" s="90">
        <v>58029</v>
      </c>
    </row>
    <row r="48" spans="1:15" ht="15.95" customHeight="1" x14ac:dyDescent="0.2">
      <c r="M48" s="25"/>
      <c r="N48" s="25"/>
      <c r="O48" s="25"/>
    </row>
    <row r="49" spans="1:15" ht="15.95" customHeight="1" x14ac:dyDescent="0.35">
      <c r="D49" s="22" t="s">
        <v>59</v>
      </c>
      <c r="M49" s="28">
        <f>SUM(M38:M47)</f>
        <v>1890891</v>
      </c>
      <c r="N49" s="25"/>
      <c r="O49" s="28">
        <v>1387629</v>
      </c>
    </row>
    <row r="50" spans="1:15" ht="9.9499999999999993" customHeight="1" x14ac:dyDescent="0.2">
      <c r="M50" s="25"/>
      <c r="N50" s="25"/>
      <c r="O50" s="25"/>
    </row>
    <row r="51" spans="1:15" ht="15.95" customHeight="1" x14ac:dyDescent="0.35">
      <c r="A51" s="22" t="s">
        <v>60</v>
      </c>
      <c r="M51" s="28">
        <v>10092949</v>
      </c>
      <c r="N51" s="25"/>
      <c r="O51" s="28">
        <v>8794944</v>
      </c>
    </row>
    <row r="52" spans="1:15" ht="9.9499999999999993" customHeight="1" x14ac:dyDescent="0.35">
      <c r="K52" s="22" t="s">
        <v>117</v>
      </c>
      <c r="M52" s="28"/>
      <c r="N52" s="25"/>
      <c r="O52" s="28"/>
    </row>
    <row r="53" spans="1:15" ht="9.9499999999999993" customHeight="1" x14ac:dyDescent="0.2">
      <c r="M53" s="25"/>
      <c r="N53" s="25"/>
      <c r="O53" s="25"/>
    </row>
    <row r="54" spans="1:15" ht="15.95" customHeight="1" x14ac:dyDescent="0.35">
      <c r="D54" s="22" t="s">
        <v>61</v>
      </c>
      <c r="M54" s="29">
        <f>M51+M49</f>
        <v>11983840</v>
      </c>
      <c r="N54" s="27"/>
      <c r="O54" s="29">
        <v>10182573</v>
      </c>
    </row>
    <row r="55" spans="1:15" ht="15.95" customHeight="1" x14ac:dyDescent="0.2">
      <c r="M55" s="25"/>
      <c r="N55" s="25"/>
      <c r="O55" s="25"/>
    </row>
    <row r="56" spans="1:15" ht="15.95" customHeight="1" x14ac:dyDescent="0.2">
      <c r="A56" s="103" t="s">
        <v>120</v>
      </c>
      <c r="M56" s="25"/>
      <c r="N56" s="25"/>
      <c r="O56" s="25"/>
    </row>
    <row r="57" spans="1:15" x14ac:dyDescent="0.2">
      <c r="A57" s="103" t="s">
        <v>121</v>
      </c>
      <c r="M57" s="25"/>
      <c r="N57" s="25"/>
      <c r="O57" s="25"/>
    </row>
    <row r="58" spans="1:15" x14ac:dyDescent="0.2">
      <c r="M58" s="25"/>
      <c r="N58" s="25"/>
      <c r="O58" s="25"/>
    </row>
    <row r="59" spans="1:15" x14ac:dyDescent="0.2">
      <c r="M59" s="25"/>
      <c r="N59" s="25"/>
      <c r="O59" s="25"/>
    </row>
    <row r="60" spans="1:15" x14ac:dyDescent="0.2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4"/>
      <c r="N60" s="24"/>
      <c r="O60" s="24"/>
    </row>
    <row r="61" spans="1:15" x14ac:dyDescent="0.2">
      <c r="M61" s="25"/>
      <c r="N61" s="25"/>
      <c r="O61" s="25"/>
    </row>
    <row r="62" spans="1:15" x14ac:dyDescent="0.2">
      <c r="M62" s="25"/>
      <c r="N62" s="25"/>
      <c r="O62" s="25"/>
    </row>
    <row r="63" spans="1:15" x14ac:dyDescent="0.2">
      <c r="M63" s="25"/>
      <c r="N63" s="25"/>
      <c r="O63" s="25"/>
    </row>
    <row r="64" spans="1:15" x14ac:dyDescent="0.2">
      <c r="M64" s="25"/>
      <c r="N64" s="25"/>
      <c r="O64" s="25"/>
    </row>
    <row r="65" spans="13:15" x14ac:dyDescent="0.2">
      <c r="M65" s="25"/>
      <c r="N65" s="25"/>
      <c r="O65" s="25"/>
    </row>
    <row r="66" spans="13:15" x14ac:dyDescent="0.2">
      <c r="M66" s="25"/>
      <c r="N66" s="25"/>
      <c r="O66" s="25"/>
    </row>
    <row r="67" spans="13:15" x14ac:dyDescent="0.2">
      <c r="M67" s="25"/>
      <c r="N67" s="25"/>
      <c r="O67" s="25"/>
    </row>
    <row r="68" spans="13:15" x14ac:dyDescent="0.2">
      <c r="M68" s="25"/>
      <c r="N68" s="25"/>
      <c r="O68" s="25"/>
    </row>
    <row r="69" spans="13:15" x14ac:dyDescent="0.2">
      <c r="M69" s="25"/>
      <c r="N69" s="25"/>
      <c r="O69" s="25"/>
    </row>
    <row r="70" spans="13:15" x14ac:dyDescent="0.2">
      <c r="M70" s="25"/>
      <c r="N70" s="25"/>
      <c r="O70" s="25"/>
    </row>
    <row r="71" spans="13:15" x14ac:dyDescent="0.2">
      <c r="M71" s="25"/>
      <c r="N71" s="25"/>
      <c r="O71" s="25"/>
    </row>
    <row r="72" spans="13:15" x14ac:dyDescent="0.2">
      <c r="M72" s="25"/>
      <c r="N72" s="25"/>
      <c r="O72" s="25"/>
    </row>
    <row r="73" spans="13:15" x14ac:dyDescent="0.2">
      <c r="M73" s="25"/>
      <c r="N73" s="25"/>
      <c r="O73" s="25"/>
    </row>
    <row r="74" spans="13:15" x14ac:dyDescent="0.2">
      <c r="M74" s="25"/>
      <c r="N74" s="25"/>
      <c r="O74" s="25"/>
    </row>
    <row r="75" spans="13:15" x14ac:dyDescent="0.2">
      <c r="M75" s="25"/>
      <c r="N75" s="25"/>
      <c r="O75" s="25"/>
    </row>
    <row r="76" spans="13:15" x14ac:dyDescent="0.2">
      <c r="M76" s="25"/>
      <c r="N76" s="25"/>
      <c r="O76" s="25"/>
    </row>
    <row r="77" spans="13:15" x14ac:dyDescent="0.2">
      <c r="M77" s="25"/>
      <c r="N77" s="25"/>
      <c r="O77" s="25"/>
    </row>
    <row r="78" spans="13:15" x14ac:dyDescent="0.2">
      <c r="M78" s="25"/>
      <c r="N78" s="25"/>
      <c r="O78" s="25"/>
    </row>
    <row r="79" spans="13:15" x14ac:dyDescent="0.2">
      <c r="M79" s="25"/>
      <c r="N79" s="25"/>
      <c r="O79" s="25"/>
    </row>
    <row r="80" spans="13:15" x14ac:dyDescent="0.2">
      <c r="M80" s="25"/>
      <c r="N80" s="25"/>
      <c r="O80" s="25"/>
    </row>
    <row r="81" spans="13:15" x14ac:dyDescent="0.2">
      <c r="M81" s="25"/>
      <c r="N81" s="25"/>
      <c r="O81" s="25"/>
    </row>
    <row r="82" spans="13:15" x14ac:dyDescent="0.2">
      <c r="M82" s="25"/>
      <c r="N82" s="25"/>
      <c r="O82" s="25"/>
    </row>
    <row r="83" spans="13:15" x14ac:dyDescent="0.2">
      <c r="M83" s="25"/>
      <c r="N83" s="25"/>
      <c r="O83" s="25"/>
    </row>
    <row r="84" spans="13:15" x14ac:dyDescent="0.2">
      <c r="M84" s="25"/>
      <c r="N84" s="25"/>
      <c r="O84" s="25"/>
    </row>
    <row r="85" spans="13:15" x14ac:dyDescent="0.2">
      <c r="M85" s="25"/>
      <c r="N85" s="25"/>
      <c r="O85" s="25"/>
    </row>
    <row r="86" spans="13:15" x14ac:dyDescent="0.2">
      <c r="M86" s="25"/>
      <c r="N86" s="25"/>
      <c r="O86" s="25"/>
    </row>
    <row r="87" spans="13:15" x14ac:dyDescent="0.2">
      <c r="M87" s="25"/>
      <c r="N87" s="25"/>
      <c r="O87" s="25"/>
    </row>
    <row r="88" spans="13:15" x14ac:dyDescent="0.2">
      <c r="M88" s="25"/>
      <c r="N88" s="25"/>
      <c r="O88" s="25"/>
    </row>
    <row r="89" spans="13:15" x14ac:dyDescent="0.2">
      <c r="M89" s="25"/>
      <c r="N89" s="25"/>
      <c r="O89" s="25"/>
    </row>
    <row r="90" spans="13:15" x14ac:dyDescent="0.2">
      <c r="M90" s="25"/>
      <c r="N90" s="25"/>
      <c r="O90" s="25"/>
    </row>
    <row r="91" spans="13:15" x14ac:dyDescent="0.2">
      <c r="M91" s="25"/>
      <c r="N91" s="25"/>
      <c r="O91" s="25"/>
    </row>
    <row r="92" spans="13:15" x14ac:dyDescent="0.2">
      <c r="M92" s="25"/>
      <c r="N92" s="25"/>
      <c r="O92" s="25"/>
    </row>
    <row r="93" spans="13:15" x14ac:dyDescent="0.2">
      <c r="M93" s="25"/>
      <c r="N93" s="25"/>
      <c r="O93" s="25"/>
    </row>
    <row r="94" spans="13:15" x14ac:dyDescent="0.2">
      <c r="M94" s="25"/>
      <c r="N94" s="25"/>
      <c r="O94" s="25"/>
    </row>
    <row r="95" spans="13:15" x14ac:dyDescent="0.2">
      <c r="M95" s="25"/>
      <c r="N95" s="25"/>
      <c r="O95" s="25"/>
    </row>
    <row r="96" spans="13:15" x14ac:dyDescent="0.2">
      <c r="M96" s="25"/>
      <c r="N96" s="25"/>
      <c r="O96" s="25"/>
    </row>
    <row r="97" spans="13:15" x14ac:dyDescent="0.2">
      <c r="M97" s="25"/>
      <c r="N97" s="25"/>
      <c r="O97" s="25"/>
    </row>
    <row r="98" spans="13:15" x14ac:dyDescent="0.2">
      <c r="M98" s="25"/>
      <c r="N98" s="25"/>
      <c r="O98" s="25"/>
    </row>
    <row r="99" spans="13:15" x14ac:dyDescent="0.2">
      <c r="M99" s="25"/>
      <c r="N99" s="25"/>
      <c r="O99" s="25"/>
    </row>
    <row r="100" spans="13:15" x14ac:dyDescent="0.2">
      <c r="M100" s="25"/>
      <c r="N100" s="25"/>
      <c r="O100" s="25"/>
    </row>
    <row r="101" spans="13:15" x14ac:dyDescent="0.2">
      <c r="M101" s="25"/>
      <c r="N101" s="25"/>
      <c r="O101" s="25"/>
    </row>
    <row r="102" spans="13:15" x14ac:dyDescent="0.2">
      <c r="M102" s="25"/>
      <c r="N102" s="25"/>
      <c r="O102" s="25"/>
    </row>
    <row r="103" spans="13:15" x14ac:dyDescent="0.2">
      <c r="M103" s="25"/>
      <c r="N103" s="25"/>
      <c r="O103" s="25"/>
    </row>
    <row r="104" spans="13:15" x14ac:dyDescent="0.2">
      <c r="M104" s="25"/>
      <c r="N104" s="25"/>
      <c r="O104" s="25"/>
    </row>
    <row r="105" spans="13:15" x14ac:dyDescent="0.2">
      <c r="M105" s="25"/>
      <c r="N105" s="25"/>
      <c r="O105" s="25"/>
    </row>
    <row r="106" spans="13:15" x14ac:dyDescent="0.2">
      <c r="M106" s="25"/>
      <c r="N106" s="25"/>
      <c r="O106" s="25"/>
    </row>
    <row r="107" spans="13:15" x14ac:dyDescent="0.2">
      <c r="M107" s="25"/>
      <c r="N107" s="25"/>
      <c r="O107" s="25"/>
    </row>
    <row r="108" spans="13:15" x14ac:dyDescent="0.2">
      <c r="M108" s="25"/>
      <c r="N108" s="25"/>
      <c r="O108" s="25"/>
    </row>
    <row r="109" spans="13:15" x14ac:dyDescent="0.2">
      <c r="M109" s="25"/>
      <c r="N109" s="25"/>
      <c r="O109" s="25"/>
    </row>
    <row r="110" spans="13:15" x14ac:dyDescent="0.2">
      <c r="M110" s="25"/>
      <c r="N110" s="25"/>
      <c r="O110" s="25"/>
    </row>
    <row r="111" spans="13:15" x14ac:dyDescent="0.2">
      <c r="M111" s="25"/>
      <c r="N111" s="25"/>
      <c r="O111" s="25"/>
    </row>
    <row r="112" spans="13:15" x14ac:dyDescent="0.2">
      <c r="M112" s="25"/>
      <c r="N112" s="25"/>
      <c r="O112" s="25"/>
    </row>
    <row r="113" spans="13:15" x14ac:dyDescent="0.2">
      <c r="M113" s="25"/>
      <c r="N113" s="25"/>
      <c r="O113" s="25"/>
    </row>
    <row r="114" spans="13:15" x14ac:dyDescent="0.2">
      <c r="M114" s="25"/>
      <c r="N114" s="25"/>
      <c r="O114" s="25"/>
    </row>
    <row r="115" spans="13:15" x14ac:dyDescent="0.2">
      <c r="M115" s="25"/>
      <c r="N115" s="25"/>
      <c r="O115" s="25"/>
    </row>
    <row r="116" spans="13:15" x14ac:dyDescent="0.2">
      <c r="M116" s="25"/>
      <c r="N116" s="25"/>
      <c r="O116" s="25"/>
    </row>
    <row r="117" spans="13:15" x14ac:dyDescent="0.2">
      <c r="M117" s="25"/>
      <c r="N117" s="25"/>
      <c r="O117" s="25"/>
    </row>
    <row r="118" spans="13:15" x14ac:dyDescent="0.2">
      <c r="M118" s="25"/>
      <c r="N118" s="25"/>
      <c r="O118" s="25"/>
    </row>
    <row r="119" spans="13:15" x14ac:dyDescent="0.2">
      <c r="M119" s="25"/>
      <c r="N119" s="25"/>
      <c r="O119" s="25"/>
    </row>
    <row r="120" spans="13:15" x14ac:dyDescent="0.2">
      <c r="M120" s="25"/>
      <c r="N120" s="25"/>
      <c r="O120" s="25"/>
    </row>
    <row r="121" spans="13:15" x14ac:dyDescent="0.2">
      <c r="M121" s="25"/>
      <c r="N121" s="25"/>
      <c r="O121" s="25"/>
    </row>
    <row r="122" spans="13:15" x14ac:dyDescent="0.2">
      <c r="M122" s="25"/>
      <c r="N122" s="25"/>
      <c r="O122" s="25"/>
    </row>
    <row r="123" spans="13:15" x14ac:dyDescent="0.2">
      <c r="M123" s="25"/>
      <c r="N123" s="25"/>
      <c r="O123" s="25"/>
    </row>
    <row r="124" spans="13:15" x14ac:dyDescent="0.2">
      <c r="M124" s="25"/>
      <c r="N124" s="25"/>
      <c r="O124" s="25"/>
    </row>
    <row r="125" spans="13:15" x14ac:dyDescent="0.2">
      <c r="M125" s="25"/>
      <c r="N125" s="25"/>
      <c r="O125" s="25"/>
    </row>
    <row r="126" spans="13:15" x14ac:dyDescent="0.2">
      <c r="M126" s="25"/>
      <c r="N126" s="25"/>
      <c r="O126" s="25"/>
    </row>
    <row r="127" spans="13:15" x14ac:dyDescent="0.2">
      <c r="M127" s="25"/>
      <c r="N127" s="25"/>
      <c r="O127" s="25"/>
    </row>
    <row r="128" spans="13:15" x14ac:dyDescent="0.2">
      <c r="M128" s="25"/>
      <c r="N128" s="25"/>
      <c r="O128" s="25"/>
    </row>
    <row r="129" spans="13:15" x14ac:dyDescent="0.2">
      <c r="M129" s="25"/>
      <c r="N129" s="25"/>
      <c r="O129" s="25"/>
    </row>
    <row r="130" spans="13:15" x14ac:dyDescent="0.2">
      <c r="M130" s="25"/>
      <c r="N130" s="25"/>
      <c r="O130" s="25"/>
    </row>
    <row r="131" spans="13:15" x14ac:dyDescent="0.2">
      <c r="M131" s="25"/>
      <c r="N131" s="25"/>
      <c r="O131" s="25"/>
    </row>
    <row r="132" spans="13:15" x14ac:dyDescent="0.2">
      <c r="M132" s="25"/>
      <c r="N132" s="25"/>
      <c r="O132" s="25"/>
    </row>
    <row r="133" spans="13:15" x14ac:dyDescent="0.2">
      <c r="M133" s="25"/>
      <c r="N133" s="25"/>
      <c r="O133" s="25"/>
    </row>
    <row r="134" spans="13:15" x14ac:dyDescent="0.2">
      <c r="M134" s="25"/>
      <c r="N134" s="25"/>
      <c r="O134" s="25"/>
    </row>
    <row r="135" spans="13:15" x14ac:dyDescent="0.2">
      <c r="M135" s="25"/>
      <c r="N135" s="25"/>
      <c r="O135" s="25"/>
    </row>
    <row r="136" spans="13:15" x14ac:dyDescent="0.2">
      <c r="M136" s="25"/>
      <c r="N136" s="25"/>
      <c r="O136" s="25"/>
    </row>
    <row r="137" spans="13:15" x14ac:dyDescent="0.2">
      <c r="M137" s="25"/>
      <c r="N137" s="25"/>
      <c r="O137" s="25"/>
    </row>
    <row r="138" spans="13:15" x14ac:dyDescent="0.2">
      <c r="M138" s="25"/>
      <c r="N138" s="25"/>
      <c r="O138" s="25"/>
    </row>
    <row r="139" spans="13:15" x14ac:dyDescent="0.2">
      <c r="M139" s="25"/>
      <c r="N139" s="25"/>
      <c r="O139" s="25"/>
    </row>
    <row r="140" spans="13:15" x14ac:dyDescent="0.2">
      <c r="M140" s="25"/>
      <c r="N140" s="25"/>
      <c r="O140" s="25"/>
    </row>
    <row r="141" spans="13:15" x14ac:dyDescent="0.2">
      <c r="M141" s="25"/>
      <c r="N141" s="25"/>
      <c r="O141" s="25"/>
    </row>
  </sheetData>
  <mergeCells count="4">
    <mergeCell ref="A1:O1"/>
    <mergeCell ref="A2:O2"/>
    <mergeCell ref="A3:O3"/>
    <mergeCell ref="A5:O5"/>
  </mergeCells>
  <phoneticPr fontId="13" type="noConversion"/>
  <pageMargins left="0.75" right="0.75" top="0.5" bottom="0.25" header="0.5" footer="0.5"/>
  <pageSetup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0"/>
  <sheetViews>
    <sheetView zoomScale="80" zoomScaleNormal="80" workbookViewId="0">
      <pane xSplit="1" ySplit="6" topLeftCell="C7" activePane="bottomRight" state="frozen"/>
      <selection pane="topRight" activeCell="B1" sqref="B1"/>
      <selection pane="bottomLeft" activeCell="A5" sqref="A5"/>
      <selection pane="bottomRight" activeCell="O87" sqref="O87"/>
    </sheetView>
  </sheetViews>
  <sheetFormatPr defaultRowHeight="12.75" x14ac:dyDescent="0.2"/>
  <cols>
    <col min="1" max="1" width="41.42578125" customWidth="1"/>
    <col min="2" max="2" width="0.28515625" hidden="1" customWidth="1"/>
    <col min="3" max="3" width="12.7109375" customWidth="1"/>
    <col min="4" max="4" width="12.42578125" customWidth="1"/>
    <col min="5" max="5" width="13.28515625" bestFit="1" customWidth="1"/>
    <col min="6" max="6" width="11.5703125" customWidth="1"/>
    <col min="7" max="7" width="12.5703125" customWidth="1"/>
    <col min="8" max="8" width="14.5703125" customWidth="1"/>
    <col min="9" max="9" width="0.28515625" hidden="1" customWidth="1"/>
    <col min="10" max="10" width="11.28515625" hidden="1" customWidth="1"/>
    <col min="11" max="11" width="11.42578125" hidden="1" customWidth="1"/>
    <col min="12" max="12" width="13.28515625" customWidth="1"/>
    <col min="13" max="14" width="13.5703125" customWidth="1"/>
    <col min="15" max="15" width="13.7109375" customWidth="1"/>
    <col min="16" max="16" width="11.85546875" customWidth="1"/>
    <col min="17" max="17" width="13" customWidth="1"/>
    <col min="18" max="18" width="15.28515625" hidden="1" customWidth="1"/>
    <col min="19" max="19" width="14.28515625" hidden="1" customWidth="1"/>
    <col min="20" max="20" width="14.42578125" customWidth="1"/>
    <col min="22" max="22" width="13.42578125" bestFit="1" customWidth="1"/>
  </cols>
  <sheetData>
    <row r="1" spans="1:20" x14ac:dyDescent="0.2">
      <c r="A1" s="18" t="s">
        <v>31</v>
      </c>
    </row>
    <row r="2" spans="1:20" x14ac:dyDescent="0.2">
      <c r="A2" s="18" t="s">
        <v>112</v>
      </c>
    </row>
    <row r="3" spans="1:20" ht="12.75" customHeight="1" x14ac:dyDescent="0.2">
      <c r="A3" s="31" t="s">
        <v>125</v>
      </c>
      <c r="C3" s="32"/>
      <c r="D3" s="32"/>
      <c r="E3" s="32"/>
      <c r="F3" s="32"/>
      <c r="G3" s="1"/>
      <c r="H3" s="1"/>
      <c r="I3" s="32"/>
      <c r="J3" s="1"/>
      <c r="K3" s="1"/>
      <c r="L3" s="32"/>
      <c r="M3" s="1"/>
      <c r="N3" s="1"/>
      <c r="O3" s="1"/>
      <c r="P3" s="1"/>
    </row>
    <row r="4" spans="1:20" x14ac:dyDescent="0.2">
      <c r="C4" s="119" t="s">
        <v>63</v>
      </c>
      <c r="D4" s="120"/>
      <c r="E4" s="121"/>
      <c r="F4" s="119" t="s">
        <v>110</v>
      </c>
      <c r="G4" s="120"/>
      <c r="H4" s="121"/>
      <c r="I4" s="119" t="s">
        <v>80</v>
      </c>
      <c r="J4" s="120"/>
      <c r="K4" s="121"/>
      <c r="L4" s="125" t="s">
        <v>126</v>
      </c>
      <c r="M4" s="120"/>
      <c r="N4" s="121"/>
      <c r="O4" s="124" t="s">
        <v>67</v>
      </c>
      <c r="P4" s="120"/>
      <c r="Q4" s="121"/>
      <c r="R4" s="47"/>
      <c r="S4" s="57" t="s">
        <v>75</v>
      </c>
      <c r="T4" s="57" t="s">
        <v>75</v>
      </c>
    </row>
    <row r="5" spans="1:20" x14ac:dyDescent="0.2">
      <c r="C5" s="19"/>
      <c r="D5" s="20"/>
      <c r="E5" s="20" t="s">
        <v>24</v>
      </c>
      <c r="F5" s="19"/>
      <c r="G5" s="20"/>
      <c r="H5" s="20" t="s">
        <v>24</v>
      </c>
      <c r="I5" s="19"/>
      <c r="J5" s="20"/>
      <c r="K5" s="20" t="s">
        <v>24</v>
      </c>
      <c r="L5" s="19"/>
      <c r="M5" s="20"/>
      <c r="N5" s="20" t="s">
        <v>24</v>
      </c>
      <c r="O5" s="122"/>
      <c r="P5" s="123"/>
      <c r="Q5" s="40" t="s">
        <v>24</v>
      </c>
      <c r="R5" s="117" t="s">
        <v>68</v>
      </c>
      <c r="S5" s="58" t="s">
        <v>76</v>
      </c>
      <c r="T5" s="58" t="s">
        <v>122</v>
      </c>
    </row>
    <row r="6" spans="1:20" x14ac:dyDescent="0.2">
      <c r="A6" s="1" t="s">
        <v>7</v>
      </c>
      <c r="C6" s="5" t="s">
        <v>8</v>
      </c>
      <c r="D6" s="6" t="s">
        <v>20</v>
      </c>
      <c r="E6" s="6" t="s">
        <v>8</v>
      </c>
      <c r="F6" s="5" t="s">
        <v>8</v>
      </c>
      <c r="G6" s="6" t="s">
        <v>20</v>
      </c>
      <c r="H6" s="6" t="s">
        <v>8</v>
      </c>
      <c r="I6" s="5" t="s">
        <v>8</v>
      </c>
      <c r="J6" s="6" t="s">
        <v>20</v>
      </c>
      <c r="K6" s="6" t="s">
        <v>8</v>
      </c>
      <c r="L6" s="5" t="s">
        <v>8</v>
      </c>
      <c r="M6" s="6" t="s">
        <v>20</v>
      </c>
      <c r="N6" s="6" t="s">
        <v>8</v>
      </c>
      <c r="O6" s="5" t="s">
        <v>8</v>
      </c>
      <c r="P6" s="6" t="s">
        <v>20</v>
      </c>
      <c r="Q6" s="42" t="s">
        <v>8</v>
      </c>
      <c r="R6" s="118"/>
      <c r="S6" s="59" t="s">
        <v>77</v>
      </c>
      <c r="T6" s="59" t="s">
        <v>110</v>
      </c>
    </row>
    <row r="7" spans="1:20" x14ac:dyDescent="0.2">
      <c r="C7" s="7"/>
      <c r="D7" s="2"/>
      <c r="E7" s="2"/>
      <c r="F7" s="7"/>
      <c r="G7" s="2"/>
      <c r="H7" s="2"/>
      <c r="I7" s="7"/>
      <c r="J7" s="2"/>
      <c r="K7" s="2"/>
      <c r="L7" s="7"/>
      <c r="M7" s="2"/>
      <c r="N7" s="2"/>
      <c r="O7" s="7"/>
      <c r="P7" s="2"/>
      <c r="Q7" s="33"/>
      <c r="R7" s="48"/>
      <c r="S7" s="48"/>
      <c r="T7" s="48"/>
    </row>
    <row r="8" spans="1:20" x14ac:dyDescent="0.2">
      <c r="A8" t="s">
        <v>99</v>
      </c>
      <c r="C8" s="8">
        <v>200000</v>
      </c>
      <c r="D8" s="9">
        <v>0</v>
      </c>
      <c r="E8" s="9">
        <f t="shared" ref="E8:E13" si="0">C8-D8</f>
        <v>200000</v>
      </c>
      <c r="F8" s="8">
        <v>200000</v>
      </c>
      <c r="G8" s="9">
        <v>0</v>
      </c>
      <c r="H8" s="45">
        <f t="shared" ref="H8:H13" si="1">F8-G8</f>
        <v>200000</v>
      </c>
      <c r="I8" s="8">
        <f t="shared" ref="I8:J13" si="2">O8-C8</f>
        <v>1050000</v>
      </c>
      <c r="J8" s="9">
        <f t="shared" si="2"/>
        <v>0</v>
      </c>
      <c r="K8" s="45">
        <f t="shared" ref="K8:K13" si="3">I8-J8</f>
        <v>1050000</v>
      </c>
      <c r="L8" s="8">
        <v>200000</v>
      </c>
      <c r="M8" s="9">
        <v>0</v>
      </c>
      <c r="N8" s="9">
        <v>200000</v>
      </c>
      <c r="O8" s="8">
        <v>1250000</v>
      </c>
      <c r="P8" s="9">
        <v>0</v>
      </c>
      <c r="Q8" s="45">
        <f t="shared" ref="Q8:Q13" si="4">O8-P8</f>
        <v>1250000</v>
      </c>
      <c r="R8" s="50">
        <f t="shared" ref="R8:R13" si="5">E8/Q8</f>
        <v>0.16</v>
      </c>
      <c r="S8" s="60">
        <f t="shared" ref="S8:S13" si="6">N8-Q8</f>
        <v>-1050000</v>
      </c>
      <c r="T8" s="93">
        <f t="shared" ref="T8:T13" si="7">E8-H8</f>
        <v>0</v>
      </c>
    </row>
    <row r="9" spans="1:20" x14ac:dyDescent="0.2">
      <c r="A9" t="s">
        <v>100</v>
      </c>
      <c r="C9" s="7">
        <v>0</v>
      </c>
      <c r="D9" s="2">
        <v>0</v>
      </c>
      <c r="E9" s="2">
        <f>C9-D9</f>
        <v>0</v>
      </c>
      <c r="F9" s="89">
        <v>0</v>
      </c>
      <c r="G9" s="94">
        <v>0</v>
      </c>
      <c r="H9" s="33">
        <f t="shared" si="1"/>
        <v>0</v>
      </c>
      <c r="I9" s="7">
        <f t="shared" si="2"/>
        <v>0</v>
      </c>
      <c r="J9" s="7">
        <f t="shared" si="2"/>
        <v>77000</v>
      </c>
      <c r="K9" s="33">
        <f>I9-J9</f>
        <v>-77000</v>
      </c>
      <c r="L9" s="7">
        <v>0</v>
      </c>
      <c r="M9" s="2">
        <v>0</v>
      </c>
      <c r="N9" s="2">
        <v>0</v>
      </c>
      <c r="O9" s="7">
        <v>0</v>
      </c>
      <c r="P9" s="2">
        <v>77000</v>
      </c>
      <c r="Q9" s="33">
        <f>O9-P9</f>
        <v>-77000</v>
      </c>
      <c r="R9" s="50">
        <f t="shared" si="5"/>
        <v>0</v>
      </c>
      <c r="S9" s="61">
        <f t="shared" si="6"/>
        <v>77000</v>
      </c>
      <c r="T9" s="61">
        <f t="shared" si="7"/>
        <v>0</v>
      </c>
    </row>
    <row r="10" spans="1:20" x14ac:dyDescent="0.2">
      <c r="A10" t="s">
        <v>102</v>
      </c>
      <c r="C10" s="7">
        <v>0</v>
      </c>
      <c r="D10" s="2">
        <v>0</v>
      </c>
      <c r="E10" s="33">
        <f>C10-D10</f>
        <v>0</v>
      </c>
      <c r="F10" s="94">
        <v>0</v>
      </c>
      <c r="G10" s="94">
        <v>0</v>
      </c>
      <c r="H10" s="33">
        <f t="shared" si="1"/>
        <v>0</v>
      </c>
      <c r="I10" s="7"/>
      <c r="J10" s="7"/>
      <c r="K10" s="33"/>
      <c r="L10" s="7">
        <v>0</v>
      </c>
      <c r="M10" s="2">
        <v>0</v>
      </c>
      <c r="N10" s="33">
        <v>0</v>
      </c>
      <c r="O10" s="7">
        <v>21000</v>
      </c>
      <c r="P10" s="2">
        <v>17750</v>
      </c>
      <c r="Q10" s="33">
        <f>O10-P10</f>
        <v>3250</v>
      </c>
      <c r="R10" s="50"/>
      <c r="S10" s="61"/>
      <c r="T10" s="61">
        <f t="shared" si="7"/>
        <v>0</v>
      </c>
    </row>
    <row r="11" spans="1:20" x14ac:dyDescent="0.2">
      <c r="A11" t="s">
        <v>101</v>
      </c>
      <c r="C11" s="7">
        <v>0</v>
      </c>
      <c r="D11" s="2">
        <v>0</v>
      </c>
      <c r="E11" s="2">
        <f t="shared" si="0"/>
        <v>0</v>
      </c>
      <c r="F11" s="89">
        <v>0</v>
      </c>
      <c r="G11" s="94">
        <v>0</v>
      </c>
      <c r="H11" s="33">
        <f t="shared" si="1"/>
        <v>0</v>
      </c>
      <c r="I11" s="7">
        <f t="shared" si="2"/>
        <v>0</v>
      </c>
      <c r="J11" s="7">
        <f t="shared" si="2"/>
        <v>0</v>
      </c>
      <c r="K11" s="33">
        <f t="shared" si="3"/>
        <v>0</v>
      </c>
      <c r="L11" s="7">
        <v>0</v>
      </c>
      <c r="M11" s="2">
        <v>0</v>
      </c>
      <c r="N11" s="2">
        <v>0</v>
      </c>
      <c r="O11" s="7">
        <v>0</v>
      </c>
      <c r="P11" s="2">
        <v>0</v>
      </c>
      <c r="Q11" s="33">
        <f t="shared" si="4"/>
        <v>0</v>
      </c>
      <c r="R11" s="50" t="e">
        <f t="shared" si="5"/>
        <v>#DIV/0!</v>
      </c>
      <c r="S11" s="61">
        <f t="shared" si="6"/>
        <v>0</v>
      </c>
      <c r="T11" s="61">
        <f t="shared" si="7"/>
        <v>0</v>
      </c>
    </row>
    <row r="12" spans="1:20" x14ac:dyDescent="0.2">
      <c r="A12" t="s">
        <v>29</v>
      </c>
      <c r="C12" s="7">
        <v>1935</v>
      </c>
      <c r="D12" s="2">
        <v>431</v>
      </c>
      <c r="E12" s="2">
        <f t="shared" si="0"/>
        <v>1504</v>
      </c>
      <c r="F12" s="89">
        <f>(O12/12)*1</f>
        <v>0</v>
      </c>
      <c r="G12" s="94">
        <f>(P12/12)*1</f>
        <v>0</v>
      </c>
      <c r="H12" s="33">
        <f t="shared" si="1"/>
        <v>0</v>
      </c>
      <c r="I12" s="7">
        <f t="shared" si="2"/>
        <v>-1935</v>
      </c>
      <c r="J12" s="7">
        <f t="shared" si="2"/>
        <v>-431</v>
      </c>
      <c r="K12" s="33">
        <f t="shared" si="3"/>
        <v>-1504</v>
      </c>
      <c r="L12" s="7">
        <v>12645</v>
      </c>
      <c r="M12" s="2">
        <v>96</v>
      </c>
      <c r="N12" s="2">
        <v>12549</v>
      </c>
      <c r="O12" s="7">
        <v>0</v>
      </c>
      <c r="P12" s="2">
        <v>0</v>
      </c>
      <c r="Q12" s="33">
        <f t="shared" si="4"/>
        <v>0</v>
      </c>
      <c r="R12" s="50" t="e">
        <f t="shared" si="5"/>
        <v>#DIV/0!</v>
      </c>
      <c r="S12" s="61">
        <f t="shared" si="6"/>
        <v>12549</v>
      </c>
      <c r="T12" s="61">
        <f t="shared" si="7"/>
        <v>1504</v>
      </c>
    </row>
    <row r="13" spans="1:20" ht="15" x14ac:dyDescent="0.35">
      <c r="A13" t="s">
        <v>103</v>
      </c>
      <c r="C13" s="10">
        <v>55</v>
      </c>
      <c r="D13" s="11">
        <v>0</v>
      </c>
      <c r="E13" s="11">
        <f t="shared" si="0"/>
        <v>55</v>
      </c>
      <c r="F13" s="10">
        <f>(O13/12)*2</f>
        <v>2416.6666666666665</v>
      </c>
      <c r="G13" s="11">
        <v>0</v>
      </c>
      <c r="H13" s="84">
        <f t="shared" si="1"/>
        <v>2416.6666666666665</v>
      </c>
      <c r="I13" s="83">
        <f t="shared" si="2"/>
        <v>14445</v>
      </c>
      <c r="J13" s="71">
        <f t="shared" si="2"/>
        <v>0</v>
      </c>
      <c r="K13" s="43">
        <f t="shared" si="3"/>
        <v>14445</v>
      </c>
      <c r="L13" s="10">
        <v>154</v>
      </c>
      <c r="M13" s="11">
        <v>0</v>
      </c>
      <c r="N13" s="11">
        <v>154</v>
      </c>
      <c r="O13" s="10">
        <v>14500</v>
      </c>
      <c r="P13" s="11">
        <v>0</v>
      </c>
      <c r="Q13" s="43">
        <f t="shared" si="4"/>
        <v>14500</v>
      </c>
      <c r="R13" s="50">
        <f t="shared" si="5"/>
        <v>3.7931034482758621E-3</v>
      </c>
      <c r="S13" s="62">
        <f t="shared" si="6"/>
        <v>-14346</v>
      </c>
      <c r="T13" s="73">
        <f t="shared" si="7"/>
        <v>-2361.6666666666665</v>
      </c>
    </row>
    <row r="14" spans="1:20" x14ac:dyDescent="0.2">
      <c r="C14" s="7">
        <f>SUM(C8:C13)</f>
        <v>201990</v>
      </c>
      <c r="D14" s="2">
        <f>SUM(D8:D13)</f>
        <v>431</v>
      </c>
      <c r="E14" s="2"/>
      <c r="F14" s="7">
        <f>SUM(F8:F13)</f>
        <v>202416.66666666666</v>
      </c>
      <c r="G14" s="2">
        <f>SUM(G8:G13)</f>
        <v>0</v>
      </c>
      <c r="H14" s="2"/>
      <c r="I14" s="7">
        <f>SUM(I8:I13)</f>
        <v>1062510</v>
      </c>
      <c r="J14" s="2">
        <f>SUM(J8:J13)</f>
        <v>76569</v>
      </c>
      <c r="K14" s="2"/>
      <c r="L14" s="7">
        <v>212799</v>
      </c>
      <c r="M14" s="2">
        <v>96</v>
      </c>
      <c r="N14" s="2"/>
      <c r="O14" s="7">
        <f>SUM(O8:O13)</f>
        <v>1285500</v>
      </c>
      <c r="P14" s="2">
        <f>SUM(P8:P13)</f>
        <v>94750</v>
      </c>
      <c r="Q14" s="33"/>
      <c r="R14" s="50"/>
      <c r="S14" s="56"/>
      <c r="T14" s="56"/>
    </row>
    <row r="15" spans="1:20" x14ac:dyDescent="0.2">
      <c r="A15" s="1" t="s">
        <v>9</v>
      </c>
      <c r="C15" s="7"/>
      <c r="D15" s="2"/>
      <c r="E15" s="15">
        <f>SUM(E8:E14)</f>
        <v>201559</v>
      </c>
      <c r="F15" s="7"/>
      <c r="G15" s="2"/>
      <c r="H15" s="15">
        <f>SUM(H8:H14)</f>
        <v>202416.66666666666</v>
      </c>
      <c r="I15" s="7"/>
      <c r="J15" s="2"/>
      <c r="K15" s="15">
        <f>SUM(K8:K14)</f>
        <v>985941</v>
      </c>
      <c r="L15" s="7"/>
      <c r="M15" s="2"/>
      <c r="N15" s="15">
        <v>212703</v>
      </c>
      <c r="O15" s="7"/>
      <c r="P15" s="2"/>
      <c r="Q15" s="46">
        <f>SUM(Q8:Q14)</f>
        <v>1190750</v>
      </c>
      <c r="R15" s="50">
        <f>E15/Q15</f>
        <v>0.16927062775561622</v>
      </c>
      <c r="S15" s="61">
        <f>SUM(S8:S13)</f>
        <v>-974797</v>
      </c>
      <c r="T15" s="61">
        <f>SUM(T8:T13)</f>
        <v>-857.66666666666652</v>
      </c>
    </row>
    <row r="16" spans="1:20" x14ac:dyDescent="0.2">
      <c r="A16" s="1"/>
      <c r="C16" s="7"/>
      <c r="D16" s="2"/>
      <c r="E16" s="2"/>
      <c r="F16" s="7"/>
      <c r="G16" s="2"/>
      <c r="H16" s="2"/>
      <c r="I16" s="7"/>
      <c r="J16" s="2"/>
      <c r="K16" s="2"/>
      <c r="L16" s="7"/>
      <c r="M16" s="2"/>
      <c r="N16" s="2"/>
      <c r="O16" s="7"/>
      <c r="P16" s="2"/>
      <c r="Q16" s="33"/>
      <c r="R16" s="50"/>
      <c r="S16" s="56"/>
      <c r="T16" s="56"/>
    </row>
    <row r="17" spans="1:20" x14ac:dyDescent="0.2">
      <c r="A17" s="1" t="s">
        <v>74</v>
      </c>
      <c r="C17" s="7"/>
      <c r="D17" s="2"/>
      <c r="E17" s="2"/>
      <c r="F17" s="7"/>
      <c r="G17" s="2"/>
      <c r="H17" s="2"/>
      <c r="I17" s="7"/>
      <c r="J17" s="2"/>
      <c r="K17" s="2"/>
      <c r="L17" s="7"/>
      <c r="M17" s="2"/>
      <c r="N17" s="2"/>
      <c r="O17" s="7"/>
      <c r="P17" s="2"/>
      <c r="Q17" s="33"/>
      <c r="R17" s="50"/>
      <c r="S17" s="56"/>
      <c r="T17" s="56"/>
    </row>
    <row r="18" spans="1:20" x14ac:dyDescent="0.2">
      <c r="A18" s="3" t="s">
        <v>104</v>
      </c>
      <c r="C18" s="7">
        <v>0</v>
      </c>
      <c r="D18" s="2">
        <v>0</v>
      </c>
      <c r="E18" s="2">
        <f>C18-D18</f>
        <v>0</v>
      </c>
      <c r="F18" s="7"/>
      <c r="G18" s="2">
        <v>0</v>
      </c>
      <c r="H18" s="33">
        <f>F18-G18</f>
        <v>0</v>
      </c>
      <c r="I18" s="7"/>
      <c r="J18" s="2"/>
      <c r="K18" s="2"/>
      <c r="L18" s="7">
        <v>0</v>
      </c>
      <c r="M18" s="2">
        <v>0</v>
      </c>
      <c r="N18" s="33">
        <v>0</v>
      </c>
      <c r="O18" s="7">
        <v>0</v>
      </c>
      <c r="P18" s="2">
        <v>0</v>
      </c>
      <c r="Q18" s="33">
        <f>O18-P18</f>
        <v>0</v>
      </c>
      <c r="R18" s="50"/>
      <c r="S18" s="56"/>
      <c r="T18" s="61">
        <f>E18-H18</f>
        <v>0</v>
      </c>
    </row>
    <row r="19" spans="1:20" x14ac:dyDescent="0.2">
      <c r="A19" s="3"/>
      <c r="C19" s="7">
        <v>0</v>
      </c>
      <c r="D19" s="2">
        <v>0</v>
      </c>
      <c r="E19" s="2">
        <f>C19-D19</f>
        <v>0</v>
      </c>
      <c r="F19" s="7"/>
      <c r="G19" s="2">
        <f>(P19/12)*1</f>
        <v>0</v>
      </c>
      <c r="H19" s="33">
        <f>F19-G19</f>
        <v>0</v>
      </c>
      <c r="I19" s="7"/>
      <c r="J19" s="2"/>
      <c r="K19" s="2"/>
      <c r="L19" s="2">
        <v>0</v>
      </c>
      <c r="M19" s="2">
        <v>0</v>
      </c>
      <c r="N19" s="2">
        <v>0</v>
      </c>
      <c r="O19" s="7"/>
      <c r="P19" s="2">
        <v>0</v>
      </c>
      <c r="Q19" s="33">
        <f>O19-P19</f>
        <v>0</v>
      </c>
      <c r="R19" s="50"/>
      <c r="S19" s="56"/>
      <c r="T19" s="61">
        <f>E19-H19</f>
        <v>0</v>
      </c>
    </row>
    <row r="20" spans="1:20" ht="15" x14ac:dyDescent="0.35">
      <c r="A20" s="3"/>
      <c r="C20" s="71">
        <v>0</v>
      </c>
      <c r="D20" s="83">
        <v>0</v>
      </c>
      <c r="E20" s="84">
        <f>C20-D20</f>
        <v>0</v>
      </c>
      <c r="F20" s="91">
        <v>0</v>
      </c>
      <c r="G20" s="83">
        <v>0</v>
      </c>
      <c r="H20" s="84">
        <v>0</v>
      </c>
      <c r="I20" s="7"/>
      <c r="J20" s="2"/>
      <c r="K20" s="2"/>
      <c r="L20" s="11">
        <v>0</v>
      </c>
      <c r="M20" s="11">
        <v>0</v>
      </c>
      <c r="N20" s="11">
        <v>0</v>
      </c>
      <c r="O20" s="71">
        <v>0</v>
      </c>
      <c r="P20" s="83">
        <v>0</v>
      </c>
      <c r="Q20" s="84">
        <f>O20-P20</f>
        <v>0</v>
      </c>
      <c r="R20" s="50"/>
      <c r="S20" s="47"/>
      <c r="T20" s="73">
        <f>E20-H20</f>
        <v>0</v>
      </c>
    </row>
    <row r="21" spans="1:20" ht="15" x14ac:dyDescent="0.35">
      <c r="A21" s="3"/>
      <c r="C21" s="10"/>
      <c r="D21" s="11"/>
      <c r="E21" s="11"/>
      <c r="F21" s="10"/>
      <c r="G21" s="11"/>
      <c r="H21" s="43"/>
      <c r="I21" s="10"/>
      <c r="J21" s="11"/>
      <c r="K21" s="43"/>
      <c r="L21" s="11"/>
      <c r="M21" s="11"/>
      <c r="N21" s="11"/>
      <c r="O21" s="10"/>
      <c r="P21" s="11"/>
      <c r="Q21" s="43"/>
      <c r="R21" s="50"/>
      <c r="S21" s="62"/>
      <c r="T21" s="73"/>
    </row>
    <row r="22" spans="1:20" ht="15" x14ac:dyDescent="0.35">
      <c r="A22" s="1" t="s">
        <v>78</v>
      </c>
      <c r="C22" s="10">
        <f>SUM(C18:C21)</f>
        <v>0</v>
      </c>
      <c r="D22" s="11">
        <f>SUM(D18:D21)</f>
        <v>0</v>
      </c>
      <c r="E22" s="11">
        <f>SUM(E18:E21)</f>
        <v>0</v>
      </c>
      <c r="F22" s="10">
        <f>SUM(F21:F21)</f>
        <v>0</v>
      </c>
      <c r="G22" s="11">
        <f>SUM(G18:G21)</f>
        <v>0</v>
      </c>
      <c r="H22" s="43">
        <f>SUM(H18:H21)</f>
        <v>0</v>
      </c>
      <c r="I22" s="10">
        <f>SUM(I21:I21)</f>
        <v>0</v>
      </c>
      <c r="J22" s="11">
        <f>SUM(J21:J21)</f>
        <v>0</v>
      </c>
      <c r="K22" s="11">
        <f>SUM(K21:K21)</f>
        <v>0</v>
      </c>
      <c r="L22" s="10">
        <v>0</v>
      </c>
      <c r="M22" s="11">
        <v>0</v>
      </c>
      <c r="N22" s="43">
        <v>0</v>
      </c>
      <c r="O22" s="10">
        <f>SUM(O18:O20)</f>
        <v>0</v>
      </c>
      <c r="P22" s="11">
        <f>SUM(P18:P21)</f>
        <v>0</v>
      </c>
      <c r="Q22" s="43">
        <f>SUM(Q18:Q21)</f>
        <v>0</v>
      </c>
      <c r="R22" s="11">
        <f>SUM(R21:R21)</f>
        <v>0</v>
      </c>
      <c r="S22" s="11">
        <f>SUM(S21:S21)</f>
        <v>0</v>
      </c>
      <c r="T22" s="43">
        <f>SUM(T18:T21)</f>
        <v>0</v>
      </c>
    </row>
    <row r="23" spans="1:20" x14ac:dyDescent="0.2">
      <c r="A23" s="1"/>
      <c r="C23" s="7"/>
      <c r="D23" s="2"/>
      <c r="E23" s="2"/>
      <c r="F23" s="7"/>
      <c r="G23" s="2"/>
      <c r="H23" s="2"/>
      <c r="I23" s="7"/>
      <c r="J23" s="2"/>
      <c r="K23" s="2"/>
      <c r="L23" s="7"/>
      <c r="M23" s="2"/>
      <c r="N23" s="2"/>
      <c r="O23" s="7"/>
      <c r="P23" s="2"/>
      <c r="Q23" s="33"/>
      <c r="R23" s="50"/>
      <c r="S23" s="56"/>
      <c r="T23" s="56"/>
    </row>
    <row r="24" spans="1:20" x14ac:dyDescent="0.2">
      <c r="A24" s="1" t="s">
        <v>28</v>
      </c>
      <c r="C24" s="7"/>
      <c r="D24" s="2"/>
      <c r="E24" s="2"/>
      <c r="F24" s="7"/>
      <c r="G24" s="2"/>
      <c r="H24" s="2"/>
      <c r="I24" s="7"/>
      <c r="J24" s="2"/>
      <c r="K24" s="2"/>
      <c r="L24" s="7"/>
      <c r="M24" s="2"/>
      <c r="N24" s="2"/>
      <c r="O24" s="7"/>
      <c r="P24" s="2"/>
      <c r="Q24" s="33"/>
      <c r="R24" s="50"/>
      <c r="S24" s="56"/>
      <c r="T24" s="56"/>
    </row>
    <row r="25" spans="1:20" x14ac:dyDescent="0.2">
      <c r="A25" s="17" t="s">
        <v>79</v>
      </c>
      <c r="C25" s="7">
        <f>18033+33972</f>
        <v>52005</v>
      </c>
      <c r="D25" s="2"/>
      <c r="E25" s="2">
        <f>C25</f>
        <v>52005</v>
      </c>
      <c r="F25" s="7">
        <f>(O25/12)*2</f>
        <v>9166.6666666666661</v>
      </c>
      <c r="G25" s="2"/>
      <c r="H25" s="2">
        <f>F25</f>
        <v>9166.6666666666661</v>
      </c>
      <c r="I25" s="7">
        <f>5417*11</f>
        <v>59587</v>
      </c>
      <c r="J25" s="2"/>
      <c r="K25" s="2"/>
      <c r="L25" s="7">
        <v>22594</v>
      </c>
      <c r="M25" s="2"/>
      <c r="N25" s="2">
        <v>22594</v>
      </c>
      <c r="O25" s="7">
        <v>55000</v>
      </c>
      <c r="P25" s="2"/>
      <c r="Q25" s="33">
        <f>O25</f>
        <v>55000</v>
      </c>
      <c r="R25" s="50">
        <f>E25/Q25</f>
        <v>0.94554545454545458</v>
      </c>
      <c r="S25" s="61">
        <f>N25-Q25</f>
        <v>-32406</v>
      </c>
      <c r="T25" s="61">
        <f>E25-H25</f>
        <v>42838.333333333336</v>
      </c>
    </row>
    <row r="26" spans="1:20" ht="15" x14ac:dyDescent="0.35">
      <c r="A26" t="s">
        <v>30</v>
      </c>
      <c r="C26" s="10">
        <v>0</v>
      </c>
      <c r="D26" s="2"/>
      <c r="E26" s="43">
        <f>C26</f>
        <v>0</v>
      </c>
      <c r="F26" s="83">
        <f>(O26/12)*1</f>
        <v>0</v>
      </c>
      <c r="G26" s="2"/>
      <c r="H26" s="11">
        <f>F26</f>
        <v>0</v>
      </c>
      <c r="I26" s="10">
        <v>0</v>
      </c>
      <c r="J26" s="2"/>
      <c r="K26" s="2"/>
      <c r="L26" s="10">
        <v>0</v>
      </c>
      <c r="M26" s="2"/>
      <c r="N26" s="43">
        <v>0</v>
      </c>
      <c r="O26" s="10">
        <v>0</v>
      </c>
      <c r="P26" s="2"/>
      <c r="Q26" s="43">
        <f>O26</f>
        <v>0</v>
      </c>
      <c r="R26" s="50">
        <v>0</v>
      </c>
      <c r="S26" s="62">
        <f>N26-Q26</f>
        <v>0</v>
      </c>
      <c r="T26" s="73">
        <f>E26-H26</f>
        <v>0</v>
      </c>
    </row>
    <row r="27" spans="1:20" ht="15" x14ac:dyDescent="0.35">
      <c r="C27" s="10">
        <f>SUM(C25:C26)</f>
        <v>52005</v>
      </c>
      <c r="D27" s="2"/>
      <c r="E27" s="11">
        <f>C27</f>
        <v>52005</v>
      </c>
      <c r="F27" s="10">
        <f>SUM(F25:F26)</f>
        <v>9166.6666666666661</v>
      </c>
      <c r="G27" s="2"/>
      <c r="H27" s="11">
        <f>F27</f>
        <v>9166.6666666666661</v>
      </c>
      <c r="I27" s="7">
        <f>SUM(I25:I26)</f>
        <v>59587</v>
      </c>
      <c r="J27" s="2"/>
      <c r="K27" s="2">
        <f>I27</f>
        <v>59587</v>
      </c>
      <c r="L27" s="10">
        <v>22594</v>
      </c>
      <c r="M27" s="2"/>
      <c r="N27" s="11">
        <v>22594</v>
      </c>
      <c r="O27" s="10">
        <f>SUM(O25:O26)</f>
        <v>55000</v>
      </c>
      <c r="P27" s="2"/>
      <c r="Q27" s="43">
        <f>O27</f>
        <v>55000</v>
      </c>
      <c r="R27" s="50">
        <f>E27/Q27</f>
        <v>0.94554545454545458</v>
      </c>
      <c r="S27" s="63">
        <f>SUM(S25:S26)</f>
        <v>-32406</v>
      </c>
      <c r="T27" s="63">
        <f>SUM(T25:T26)</f>
        <v>42838.333333333336</v>
      </c>
    </row>
    <row r="28" spans="1:20" x14ac:dyDescent="0.2">
      <c r="A28" t="s">
        <v>10</v>
      </c>
      <c r="C28" s="7"/>
      <c r="D28" s="2"/>
      <c r="E28" s="2"/>
      <c r="F28" s="7"/>
      <c r="G28" s="2"/>
      <c r="H28" s="2"/>
      <c r="I28" s="7"/>
      <c r="J28" s="2"/>
      <c r="K28" s="2"/>
      <c r="L28" s="7"/>
      <c r="M28" s="2"/>
      <c r="N28" s="2"/>
      <c r="O28" s="7"/>
      <c r="P28" s="2"/>
      <c r="Q28" s="33"/>
      <c r="R28" s="50"/>
      <c r="S28" s="56"/>
      <c r="T28" s="56"/>
    </row>
    <row r="29" spans="1:20" x14ac:dyDescent="0.2">
      <c r="A29" s="17" t="s">
        <v>69</v>
      </c>
      <c r="C29" s="7">
        <v>534649</v>
      </c>
      <c r="D29" s="2"/>
      <c r="E29" s="2">
        <f>C29</f>
        <v>534649</v>
      </c>
      <c r="F29" s="7">
        <f>(O29/12)*2</f>
        <v>384000</v>
      </c>
      <c r="G29" s="2"/>
      <c r="H29" s="2">
        <f>F29</f>
        <v>384000</v>
      </c>
      <c r="I29" s="7">
        <f>O29-E29</f>
        <v>1769351</v>
      </c>
      <c r="J29" s="2"/>
      <c r="K29" s="2"/>
      <c r="L29" s="7">
        <v>440829</v>
      </c>
      <c r="M29" s="2"/>
      <c r="N29" s="2">
        <v>440829</v>
      </c>
      <c r="O29" s="7">
        <v>2304000</v>
      </c>
      <c r="P29" s="2"/>
      <c r="Q29" s="33">
        <f>O29</f>
        <v>2304000</v>
      </c>
      <c r="R29" s="50">
        <f>E29/Q29</f>
        <v>0.2320525173611111</v>
      </c>
      <c r="S29" s="61">
        <f>N29-Q29</f>
        <v>-1863171</v>
      </c>
      <c r="T29" s="61">
        <f>E29-H29</f>
        <v>150649</v>
      </c>
    </row>
    <row r="30" spans="1:20" x14ac:dyDescent="0.2">
      <c r="A30" s="17" t="s">
        <v>70</v>
      </c>
      <c r="C30" s="7">
        <v>55633</v>
      </c>
      <c r="D30" s="2"/>
      <c r="E30" s="2">
        <f>C30</f>
        <v>55633</v>
      </c>
      <c r="F30" s="7">
        <f>(O30/12)*2</f>
        <v>55000</v>
      </c>
      <c r="G30" s="2"/>
      <c r="H30" s="2">
        <f>F30</f>
        <v>55000</v>
      </c>
      <c r="I30" s="7">
        <f>O30-E30</f>
        <v>274367</v>
      </c>
      <c r="J30" s="2"/>
      <c r="K30" s="2"/>
      <c r="L30" s="7">
        <v>87689</v>
      </c>
      <c r="M30" s="2"/>
      <c r="N30" s="2">
        <v>87689</v>
      </c>
      <c r="O30" s="7">
        <v>330000</v>
      </c>
      <c r="P30" s="2"/>
      <c r="Q30" s="33">
        <f>O30</f>
        <v>330000</v>
      </c>
      <c r="R30" s="50">
        <f>E30/Q30</f>
        <v>0.16858484848484848</v>
      </c>
      <c r="S30" s="61">
        <f>N30-Q30</f>
        <v>-242311</v>
      </c>
      <c r="T30" s="61">
        <f>E30-H30</f>
        <v>633</v>
      </c>
    </row>
    <row r="31" spans="1:20" ht="15" x14ac:dyDescent="0.35">
      <c r="A31" t="s">
        <v>11</v>
      </c>
      <c r="C31" s="71">
        <v>1120</v>
      </c>
      <c r="D31" s="2"/>
      <c r="E31" s="84">
        <f>C31</f>
        <v>1120</v>
      </c>
      <c r="F31" s="83">
        <f>(O31/12)*1</f>
        <v>0</v>
      </c>
      <c r="G31" s="2"/>
      <c r="H31" s="83">
        <f>F31</f>
        <v>0</v>
      </c>
      <c r="I31" s="7"/>
      <c r="J31" s="2"/>
      <c r="K31" s="2"/>
      <c r="L31" s="71">
        <v>379</v>
      </c>
      <c r="M31" s="2"/>
      <c r="N31" s="84">
        <v>379</v>
      </c>
      <c r="O31" s="71">
        <v>0</v>
      </c>
      <c r="P31" s="2"/>
      <c r="Q31" s="84">
        <f>O31</f>
        <v>0</v>
      </c>
      <c r="R31" s="50"/>
      <c r="S31" s="61"/>
      <c r="T31" s="73">
        <f>E31-H31</f>
        <v>1120</v>
      </c>
    </row>
    <row r="32" spans="1:20" ht="15" x14ac:dyDescent="0.35">
      <c r="C32" s="10">
        <f>SUM(C29:C31)</f>
        <v>591402</v>
      </c>
      <c r="D32" s="2"/>
      <c r="E32" s="11">
        <f>C32</f>
        <v>591402</v>
      </c>
      <c r="F32" s="10">
        <f>SUM(F29:F31)</f>
        <v>439000</v>
      </c>
      <c r="G32" s="2"/>
      <c r="H32" s="11">
        <f>F32</f>
        <v>439000</v>
      </c>
      <c r="I32" s="10">
        <f>SUM(I29:I31)</f>
        <v>2043718</v>
      </c>
      <c r="J32" s="2"/>
      <c r="K32" s="11">
        <f>I32</f>
        <v>2043718</v>
      </c>
      <c r="L32" s="10">
        <v>528897</v>
      </c>
      <c r="M32" s="2"/>
      <c r="N32" s="11">
        <v>528897</v>
      </c>
      <c r="O32" s="10">
        <f>SUM(O29:O31)</f>
        <v>2634000</v>
      </c>
      <c r="P32" s="2"/>
      <c r="Q32" s="43">
        <f>O32</f>
        <v>2634000</v>
      </c>
      <c r="R32" s="50">
        <f>E32/Q32</f>
        <v>0.22452619589977221</v>
      </c>
      <c r="S32" s="63">
        <f>SUM(S29:S31)</f>
        <v>-2105482</v>
      </c>
      <c r="T32" s="63">
        <f>SUM(T29:T31)</f>
        <v>152402</v>
      </c>
    </row>
    <row r="33" spans="1:22" x14ac:dyDescent="0.2">
      <c r="C33" s="7"/>
      <c r="D33" s="2"/>
      <c r="E33" s="2"/>
      <c r="F33" s="7"/>
      <c r="G33" s="2"/>
      <c r="H33" s="2"/>
      <c r="I33" s="7"/>
      <c r="J33" s="2"/>
      <c r="K33" s="2"/>
      <c r="L33" s="7"/>
      <c r="M33" s="2"/>
      <c r="N33" s="2"/>
      <c r="O33" s="7"/>
      <c r="P33" s="2"/>
      <c r="Q33" s="33"/>
      <c r="R33" s="50"/>
      <c r="S33" s="56"/>
      <c r="T33" s="56"/>
    </row>
    <row r="34" spans="1:22" x14ac:dyDescent="0.2">
      <c r="A34" t="s">
        <v>22</v>
      </c>
      <c r="C34" s="7"/>
      <c r="D34" s="2"/>
      <c r="E34" s="14">
        <f>E15+E22+E27+E32</f>
        <v>844966</v>
      </c>
      <c r="F34" s="21"/>
      <c r="G34" s="14"/>
      <c r="H34" s="14">
        <f>H15+H22+H27+H32</f>
        <v>650583.33333333326</v>
      </c>
      <c r="I34" s="21"/>
      <c r="J34" s="14"/>
      <c r="K34" s="14">
        <f>K15+K21+K27+K32</f>
        <v>3089246</v>
      </c>
      <c r="L34" s="7"/>
      <c r="M34" s="2"/>
      <c r="N34" s="14">
        <v>764194</v>
      </c>
      <c r="O34" s="21"/>
      <c r="P34" s="14"/>
      <c r="Q34" s="44">
        <f>Q15+Q21+Q27+Q32+Q22</f>
        <v>3879750</v>
      </c>
      <c r="R34" s="50">
        <f>E34/Q34</f>
        <v>0.21778877504993879</v>
      </c>
      <c r="S34" s="61">
        <f>S15+S21+S27+S32</f>
        <v>-3112685</v>
      </c>
      <c r="T34" s="61">
        <f>T15+T22+T27+T32</f>
        <v>194382.66666666669</v>
      </c>
    </row>
    <row r="35" spans="1:22" x14ac:dyDescent="0.2">
      <c r="C35" s="7"/>
      <c r="D35" s="2"/>
      <c r="E35" s="2"/>
      <c r="F35" s="7"/>
      <c r="G35" s="2"/>
      <c r="H35" s="2"/>
      <c r="I35" s="7"/>
      <c r="J35" s="2"/>
      <c r="K35" s="2"/>
      <c r="L35" s="7"/>
      <c r="M35" s="2"/>
      <c r="N35" s="2"/>
      <c r="O35" s="7"/>
      <c r="P35" s="2"/>
      <c r="Q35" s="33"/>
      <c r="R35" s="50"/>
      <c r="S35" s="56"/>
      <c r="T35" s="56"/>
    </row>
    <row r="36" spans="1:22" ht="15" x14ac:dyDescent="0.35">
      <c r="A36" s="3" t="s">
        <v>106</v>
      </c>
      <c r="C36" s="7"/>
      <c r="D36" s="11">
        <f>D88</f>
        <v>566745</v>
      </c>
      <c r="E36" s="11">
        <f>D88</f>
        <v>566745</v>
      </c>
      <c r="F36" s="7"/>
      <c r="G36" s="11">
        <f>G88</f>
        <v>642108.83333333349</v>
      </c>
      <c r="H36" s="11">
        <f>G36</f>
        <v>642108.83333333349</v>
      </c>
      <c r="I36" s="7"/>
      <c r="J36" s="11">
        <f>J88</f>
        <v>2941943</v>
      </c>
      <c r="K36" s="11">
        <f>J36</f>
        <v>2941943</v>
      </c>
      <c r="L36" s="7"/>
      <c r="M36" s="11">
        <v>434884</v>
      </c>
      <c r="N36" s="11">
        <v>434884</v>
      </c>
      <c r="O36" s="7"/>
      <c r="P36" s="11">
        <f>Q88</f>
        <v>3852653</v>
      </c>
      <c r="Q36" s="43">
        <f>P36</f>
        <v>3852653</v>
      </c>
      <c r="R36" s="43">
        <f>Q36</f>
        <v>3852653</v>
      </c>
      <c r="S36" s="43">
        <f>R36</f>
        <v>3852653</v>
      </c>
      <c r="T36" s="62">
        <f>-T88</f>
        <v>75363.833333333328</v>
      </c>
      <c r="V36" s="105"/>
    </row>
    <row r="37" spans="1:22" ht="15" x14ac:dyDescent="0.35">
      <c r="A37" s="1" t="s">
        <v>107</v>
      </c>
      <c r="C37" s="7"/>
      <c r="D37" s="11"/>
      <c r="E37" s="11"/>
      <c r="F37" s="7"/>
      <c r="G37" s="2"/>
      <c r="H37" s="11"/>
      <c r="I37" s="7"/>
      <c r="J37" s="2"/>
      <c r="K37" s="11"/>
      <c r="L37" s="7"/>
      <c r="M37" s="11"/>
      <c r="N37" s="11"/>
      <c r="O37" s="7"/>
      <c r="P37" s="2"/>
      <c r="Q37" s="43"/>
      <c r="R37" s="50"/>
      <c r="S37" s="56"/>
      <c r="T37" s="56"/>
      <c r="V37" s="2"/>
    </row>
    <row r="38" spans="1:22" ht="15" x14ac:dyDescent="0.35">
      <c r="A38" s="1" t="s">
        <v>25</v>
      </c>
      <c r="C38" s="10">
        <f>C14+C22+C27+C32</f>
        <v>845397</v>
      </c>
      <c r="D38" s="11">
        <f>D14+D22+D36</f>
        <v>567176</v>
      </c>
      <c r="E38" s="2"/>
      <c r="F38" s="10">
        <f>F14+F22+F27+F32</f>
        <v>650583.33333333326</v>
      </c>
      <c r="G38" s="11">
        <f>G14+G22+G36</f>
        <v>642108.83333333349</v>
      </c>
      <c r="H38" s="2"/>
      <c r="I38" s="10">
        <f>I14+I21+I27+I32</f>
        <v>3165815</v>
      </c>
      <c r="J38" s="11">
        <f>J14+J21+J36</f>
        <v>3018512</v>
      </c>
      <c r="K38" s="2"/>
      <c r="L38" s="10">
        <v>764290</v>
      </c>
      <c r="M38" s="11">
        <v>434980</v>
      </c>
      <c r="N38" s="2"/>
      <c r="O38" s="10">
        <f>O14+O27+O32</f>
        <v>3974500</v>
      </c>
      <c r="P38" s="11">
        <f>P14+P22+P36</f>
        <v>3947403</v>
      </c>
      <c r="Q38" s="33"/>
      <c r="R38" s="50"/>
      <c r="S38" s="56"/>
      <c r="T38" s="56"/>
    </row>
    <row r="39" spans="1:22" ht="15" x14ac:dyDescent="0.35">
      <c r="A39" s="1"/>
      <c r="C39" s="10"/>
      <c r="D39" s="11"/>
      <c r="E39" s="2"/>
      <c r="F39" s="10"/>
      <c r="G39" s="11"/>
      <c r="H39" s="2"/>
      <c r="I39" s="10"/>
      <c r="J39" s="11"/>
      <c r="K39" s="2"/>
      <c r="L39" s="10"/>
      <c r="M39" s="11"/>
      <c r="N39" s="2"/>
      <c r="O39" s="10"/>
      <c r="P39" s="11"/>
      <c r="Q39" s="74"/>
      <c r="R39" s="50"/>
      <c r="S39" s="33"/>
      <c r="T39" s="33"/>
    </row>
    <row r="40" spans="1:22" x14ac:dyDescent="0.2">
      <c r="A40" s="1" t="s">
        <v>105</v>
      </c>
      <c r="C40" s="7"/>
      <c r="D40" s="2"/>
      <c r="E40" s="15">
        <f>E34-E36</f>
        <v>278221</v>
      </c>
      <c r="F40" s="7"/>
      <c r="G40" s="2"/>
      <c r="H40" s="15">
        <f>H34-H36</f>
        <v>8474.4999999997672</v>
      </c>
      <c r="I40" s="7"/>
      <c r="J40" s="2"/>
      <c r="K40" s="14">
        <f>K34-K36</f>
        <v>147303</v>
      </c>
      <c r="L40" s="7"/>
      <c r="M40" s="2"/>
      <c r="N40" s="15">
        <v>329310</v>
      </c>
      <c r="O40" s="7"/>
      <c r="P40" s="2"/>
      <c r="Q40" s="46">
        <f>Q34-Q36</f>
        <v>27097</v>
      </c>
      <c r="R40" s="50">
        <f>E40/Q40</f>
        <v>10.267594198619774</v>
      </c>
      <c r="S40" s="64">
        <f>S34-S36</f>
        <v>-6965338</v>
      </c>
      <c r="T40" s="92">
        <f>T34+T36</f>
        <v>269746.5</v>
      </c>
    </row>
    <row r="41" spans="1:22" x14ac:dyDescent="0.2">
      <c r="A41" s="1"/>
      <c r="C41" s="7"/>
      <c r="D41" s="2"/>
      <c r="E41" s="14"/>
      <c r="F41" s="7"/>
      <c r="G41" s="2"/>
      <c r="H41" s="14"/>
      <c r="I41" s="7"/>
      <c r="J41" s="2"/>
      <c r="K41" s="14"/>
      <c r="L41" s="7"/>
      <c r="M41" s="2"/>
      <c r="N41" s="14"/>
      <c r="O41" s="7"/>
      <c r="P41" s="2"/>
      <c r="Q41" s="44"/>
      <c r="R41" s="50"/>
      <c r="S41" s="64"/>
      <c r="T41" s="64"/>
    </row>
    <row r="42" spans="1:22" x14ac:dyDescent="0.2">
      <c r="A42" s="3" t="s">
        <v>98</v>
      </c>
      <c r="C42" s="7">
        <v>0</v>
      </c>
      <c r="D42" s="2"/>
      <c r="E42" s="44">
        <v>0</v>
      </c>
      <c r="F42" s="7">
        <v>0</v>
      </c>
      <c r="G42" s="2"/>
      <c r="H42" s="44">
        <v>0</v>
      </c>
      <c r="I42" s="7"/>
      <c r="J42" s="2"/>
      <c r="K42" s="14"/>
      <c r="L42" s="7">
        <v>0</v>
      </c>
      <c r="M42" s="2">
        <v>0</v>
      </c>
      <c r="N42" s="44">
        <v>0</v>
      </c>
      <c r="O42" s="7">
        <v>48000</v>
      </c>
      <c r="P42" s="2">
        <v>0</v>
      </c>
      <c r="Q42" s="44">
        <f>O42-P42</f>
        <v>48000</v>
      </c>
      <c r="R42" s="50"/>
      <c r="S42" s="64"/>
      <c r="T42" s="61">
        <f t="shared" ref="T42:T48" si="8">E42-H42</f>
        <v>0</v>
      </c>
    </row>
    <row r="43" spans="1:22" x14ac:dyDescent="0.2">
      <c r="A43" s="3" t="s">
        <v>108</v>
      </c>
      <c r="C43" s="7"/>
      <c r="D43" s="2"/>
      <c r="E43" s="14">
        <f>C42-D43</f>
        <v>0</v>
      </c>
      <c r="F43" s="7"/>
      <c r="G43" s="2">
        <v>0</v>
      </c>
      <c r="H43" s="14">
        <f>F42-G43</f>
        <v>0</v>
      </c>
      <c r="I43" s="7"/>
      <c r="J43" s="2"/>
      <c r="K43" s="14"/>
      <c r="L43" s="7"/>
      <c r="M43" s="2">
        <v>2000</v>
      </c>
      <c r="N43" s="14">
        <v>-2000</v>
      </c>
      <c r="O43" s="7"/>
      <c r="P43" s="2">
        <v>21000</v>
      </c>
      <c r="Q43" s="44">
        <f>O42-P43</f>
        <v>27000</v>
      </c>
      <c r="R43" s="50"/>
      <c r="S43" s="64"/>
      <c r="T43" s="61">
        <v>0</v>
      </c>
    </row>
    <row r="44" spans="1:22" ht="15" x14ac:dyDescent="0.35">
      <c r="A44" s="3" t="s">
        <v>109</v>
      </c>
      <c r="C44" s="10"/>
      <c r="D44" s="11">
        <v>2975</v>
      </c>
      <c r="E44" s="43">
        <f>E43-D44</f>
        <v>-2975</v>
      </c>
      <c r="F44" s="10"/>
      <c r="G44" s="11">
        <v>0</v>
      </c>
      <c r="H44" s="43">
        <f>H43-G44</f>
        <v>0</v>
      </c>
      <c r="I44" s="7"/>
      <c r="J44" s="2"/>
      <c r="K44" s="11">
        <f>Q44-E44</f>
        <v>2975</v>
      </c>
      <c r="L44" s="10"/>
      <c r="M44" s="11">
        <v>0</v>
      </c>
      <c r="N44" s="43">
        <v>-2000</v>
      </c>
      <c r="O44" s="7"/>
      <c r="P44" s="11">
        <v>27000</v>
      </c>
      <c r="Q44" s="43">
        <f>Q43-P44</f>
        <v>0</v>
      </c>
      <c r="R44" s="50" t="e">
        <f>E44/Q44</f>
        <v>#DIV/0!</v>
      </c>
      <c r="S44" s="62">
        <f>N44-Q44</f>
        <v>-2000</v>
      </c>
      <c r="T44" s="62">
        <f>E44-H44</f>
        <v>-2975</v>
      </c>
      <c r="V44" s="2"/>
    </row>
    <row r="45" spans="1:22" ht="15" x14ac:dyDescent="0.35">
      <c r="A45" s="1" t="s">
        <v>114</v>
      </c>
      <c r="C45" s="10"/>
      <c r="D45" s="11"/>
      <c r="E45" s="11"/>
      <c r="F45" s="10"/>
      <c r="G45" s="11"/>
      <c r="H45" s="11"/>
      <c r="I45" s="7"/>
      <c r="J45" s="2"/>
      <c r="K45" s="11"/>
      <c r="L45" s="10"/>
      <c r="M45" s="11"/>
      <c r="N45" s="11"/>
      <c r="O45" s="7"/>
      <c r="P45" s="11"/>
      <c r="Q45" s="43"/>
      <c r="R45" s="50"/>
      <c r="S45" s="62"/>
      <c r="T45" s="62"/>
    </row>
    <row r="46" spans="1:22" x14ac:dyDescent="0.2">
      <c r="A46" s="3" t="s">
        <v>115</v>
      </c>
      <c r="C46" s="7"/>
      <c r="D46" s="2">
        <v>10000</v>
      </c>
      <c r="E46" s="14">
        <f>C46-D46</f>
        <v>-10000</v>
      </c>
      <c r="F46" s="7">
        <v>0</v>
      </c>
      <c r="G46" s="102">
        <f>P46/12*2</f>
        <v>5000</v>
      </c>
      <c r="H46" s="14">
        <f>F46-G46</f>
        <v>-5000</v>
      </c>
      <c r="I46" s="21"/>
      <c r="J46" s="14"/>
      <c r="K46" s="14">
        <f>SUM(K40:K44)</f>
        <v>150278</v>
      </c>
      <c r="L46" s="7"/>
      <c r="M46" s="2">
        <v>20000</v>
      </c>
      <c r="N46" s="14">
        <v>-20000</v>
      </c>
      <c r="O46" s="21"/>
      <c r="P46" s="14">
        <v>30000</v>
      </c>
      <c r="Q46" s="44">
        <f>O46-P46</f>
        <v>-30000</v>
      </c>
      <c r="R46" s="50">
        <f>E46/Q51</f>
        <v>2.3229721034280098E-2</v>
      </c>
      <c r="S46" s="61">
        <f>SUM(S40:S44)</f>
        <v>-6967338</v>
      </c>
      <c r="T46" s="61">
        <f>E46+H46</f>
        <v>-15000</v>
      </c>
    </row>
    <row r="47" spans="1:22" ht="15" x14ac:dyDescent="0.35">
      <c r="A47" s="3" t="s">
        <v>116</v>
      </c>
      <c r="C47" s="7"/>
      <c r="D47" s="2">
        <v>20000</v>
      </c>
      <c r="E47" s="14">
        <f>C47-D47</f>
        <v>-20000</v>
      </c>
      <c r="F47" s="7">
        <v>0</v>
      </c>
      <c r="G47" s="102">
        <f>P47/12*2</f>
        <v>40000</v>
      </c>
      <c r="H47" s="14">
        <f>F47-G47</f>
        <v>-40000</v>
      </c>
      <c r="I47" s="7"/>
      <c r="J47" s="11"/>
      <c r="K47" s="11">
        <f>-J90</f>
        <v>-8400</v>
      </c>
      <c r="L47" s="7"/>
      <c r="M47" s="2">
        <v>40000</v>
      </c>
      <c r="N47" s="14">
        <v>-40000</v>
      </c>
      <c r="O47" s="10"/>
      <c r="P47" s="14">
        <v>240000</v>
      </c>
      <c r="Q47" s="44">
        <f>O47-P47</f>
        <v>-240000</v>
      </c>
      <c r="R47" s="96">
        <f>E47/Q52</f>
        <v>2</v>
      </c>
      <c r="S47" s="62">
        <f>N47-Q52</f>
        <v>-30000</v>
      </c>
      <c r="T47" s="61">
        <f t="shared" si="8"/>
        <v>20000</v>
      </c>
    </row>
    <row r="48" spans="1:22" ht="15" x14ac:dyDescent="0.35">
      <c r="A48" s="3" t="s">
        <v>124</v>
      </c>
      <c r="C48" s="7"/>
      <c r="D48" s="2">
        <v>0</v>
      </c>
      <c r="E48" s="14">
        <v>-1941</v>
      </c>
      <c r="F48" s="7"/>
      <c r="G48" s="102">
        <f>P48/12*2</f>
        <v>34596.666666666664</v>
      </c>
      <c r="H48" s="14">
        <f>F48-G48</f>
        <v>-34596.666666666664</v>
      </c>
      <c r="I48" s="106"/>
      <c r="J48" s="11"/>
      <c r="K48" s="11"/>
      <c r="L48" s="7"/>
      <c r="M48" s="2">
        <v>32000</v>
      </c>
      <c r="N48" s="14">
        <v>-32000</v>
      </c>
      <c r="O48" s="10"/>
      <c r="P48" s="14">
        <v>207580</v>
      </c>
      <c r="Q48" s="44">
        <f>O48-P48</f>
        <v>-207580</v>
      </c>
      <c r="R48" s="107"/>
      <c r="S48" s="108"/>
      <c r="T48" s="61">
        <f t="shared" si="8"/>
        <v>32655.666666666664</v>
      </c>
    </row>
    <row r="49" spans="1:22" ht="15" x14ac:dyDescent="0.35">
      <c r="A49" s="3" t="s">
        <v>127</v>
      </c>
      <c r="C49" s="7"/>
      <c r="D49" s="2"/>
      <c r="E49" s="14"/>
      <c r="F49" s="7"/>
      <c r="G49" s="102"/>
      <c r="H49" s="14"/>
      <c r="I49" s="106"/>
      <c r="J49" s="11"/>
      <c r="K49" s="11"/>
      <c r="L49" s="7">
        <v>1000</v>
      </c>
      <c r="M49" s="2">
        <v>5000</v>
      </c>
      <c r="N49" s="14">
        <v>-4000</v>
      </c>
      <c r="O49" s="10"/>
      <c r="P49" s="14"/>
      <c r="Q49" s="44"/>
      <c r="R49" s="107"/>
      <c r="S49" s="108"/>
      <c r="T49" s="61"/>
    </row>
    <row r="50" spans="1:22" ht="15" x14ac:dyDescent="0.35">
      <c r="A50" s="77" t="s">
        <v>82</v>
      </c>
      <c r="C50" s="7"/>
      <c r="D50" s="2"/>
      <c r="E50" s="11">
        <f>140447+31050</f>
        <v>171497</v>
      </c>
      <c r="F50" s="7"/>
      <c r="G50" s="2"/>
      <c r="H50" s="11">
        <f>Q50/12*1</f>
        <v>1666.6666666666667</v>
      </c>
      <c r="I50" s="2"/>
      <c r="J50" s="2"/>
      <c r="K50" s="87">
        <f>SUM(K46:K47)</f>
        <v>141878</v>
      </c>
      <c r="L50" s="7"/>
      <c r="M50" s="2"/>
      <c r="N50" s="11">
        <v>101224</v>
      </c>
      <c r="O50" s="7"/>
      <c r="P50" s="2"/>
      <c r="Q50" s="97">
        <v>20000</v>
      </c>
      <c r="R50" s="53">
        <f>E50/Q53</f>
        <v>-0.38933852157745019</v>
      </c>
      <c r="S50" s="87">
        <f>SUM(S46:S47)</f>
        <v>-6997338</v>
      </c>
      <c r="T50" s="62">
        <f>E50-H50</f>
        <v>169830.33333333334</v>
      </c>
    </row>
    <row r="51" spans="1:22" ht="15" x14ac:dyDescent="0.35">
      <c r="A51" s="1" t="s">
        <v>26</v>
      </c>
      <c r="C51" s="7"/>
      <c r="D51" s="14"/>
      <c r="E51" s="14">
        <f>E40+E46+E50+E44+E47+E48</f>
        <v>414802</v>
      </c>
      <c r="F51" s="7"/>
      <c r="G51" s="14"/>
      <c r="H51" s="14">
        <f>H40+H46+H47+H48+H50</f>
        <v>-69455.500000000218</v>
      </c>
      <c r="I51" s="2"/>
      <c r="J51" s="2"/>
      <c r="K51" s="87"/>
      <c r="L51" s="7"/>
      <c r="M51" s="14"/>
      <c r="N51" s="14">
        <v>332534</v>
      </c>
      <c r="O51" s="7"/>
      <c r="P51" s="2"/>
      <c r="Q51" s="44">
        <f>Q40+Q46+Q47+Q48+Q50</f>
        <v>-430483</v>
      </c>
      <c r="R51" s="53"/>
      <c r="S51" s="87"/>
      <c r="T51" s="44">
        <f>T40+T44+T46+T47+T50</f>
        <v>441601.83333333337</v>
      </c>
    </row>
    <row r="52" spans="1:22" ht="15" x14ac:dyDescent="0.35">
      <c r="A52" s="3" t="s">
        <v>4</v>
      </c>
      <c r="C52" s="7"/>
      <c r="D52" s="14"/>
      <c r="E52" s="11">
        <f>-D90</f>
        <v>-1600</v>
      </c>
      <c r="F52" s="7"/>
      <c r="G52" s="14"/>
      <c r="H52" s="11">
        <f>-G90</f>
        <v>-1666.6666666666667</v>
      </c>
      <c r="I52" s="2"/>
      <c r="J52" s="2"/>
      <c r="K52" s="87"/>
      <c r="L52" s="7"/>
      <c r="M52" s="14"/>
      <c r="N52" s="11">
        <v>-1600</v>
      </c>
      <c r="O52" s="7"/>
      <c r="P52" s="2"/>
      <c r="Q52" s="43">
        <v>-10000</v>
      </c>
      <c r="R52" s="53"/>
      <c r="S52" s="87"/>
      <c r="T52" s="43">
        <f>E52-H52</f>
        <v>66.666666666666742</v>
      </c>
      <c r="V52" s="2"/>
    </row>
    <row r="53" spans="1:22" ht="15" x14ac:dyDescent="0.35">
      <c r="A53" s="1" t="s">
        <v>27</v>
      </c>
      <c r="C53" s="12"/>
      <c r="D53" s="13"/>
      <c r="E53" s="16">
        <f>SUM(E51:E52)</f>
        <v>413202</v>
      </c>
      <c r="F53" s="12"/>
      <c r="G53" s="13"/>
      <c r="H53" s="16">
        <f>SUM(H51:H52)</f>
        <v>-71122.16666666689</v>
      </c>
      <c r="I53" s="13"/>
      <c r="J53" s="13"/>
      <c r="K53" s="16"/>
      <c r="L53" s="12"/>
      <c r="M53" s="13"/>
      <c r="N53" s="16">
        <v>330934</v>
      </c>
      <c r="O53" s="12"/>
      <c r="P53" s="13"/>
      <c r="Q53" s="98">
        <f>SUM(Q51:Q52)</f>
        <v>-440483</v>
      </c>
      <c r="R53" s="95"/>
      <c r="S53" s="16"/>
      <c r="T53" s="99">
        <f>E53+H53</f>
        <v>342079.83333333314</v>
      </c>
    </row>
    <row r="54" spans="1:22" ht="15" x14ac:dyDescent="0.35">
      <c r="A54" s="1" t="s">
        <v>88</v>
      </c>
      <c r="C54" s="2"/>
      <c r="D54" s="2"/>
      <c r="E54" s="87"/>
      <c r="F54" s="2"/>
      <c r="G54" s="2"/>
      <c r="H54" s="87"/>
      <c r="I54" s="2"/>
      <c r="J54" s="2"/>
      <c r="K54" s="87"/>
      <c r="L54" s="2"/>
      <c r="M54" s="2"/>
      <c r="N54" s="87"/>
      <c r="O54" s="2"/>
      <c r="P54" s="2"/>
      <c r="Q54" s="87"/>
      <c r="R54" s="53"/>
      <c r="S54" s="87"/>
      <c r="T54" s="87"/>
    </row>
    <row r="55" spans="1:22" ht="15" x14ac:dyDescent="0.35">
      <c r="A55" s="1" t="s">
        <v>89</v>
      </c>
      <c r="C55" s="2"/>
      <c r="D55" s="2"/>
      <c r="E55" s="87">
        <f>570182+9109566</f>
        <v>9679748</v>
      </c>
      <c r="F55" s="2"/>
      <c r="G55" s="2"/>
      <c r="H55" s="87"/>
      <c r="I55" s="2"/>
      <c r="J55" s="2"/>
      <c r="K55" s="87"/>
      <c r="L55" s="2"/>
      <c r="M55" s="2"/>
      <c r="N55" s="87">
        <v>8464009</v>
      </c>
      <c r="O55" s="2"/>
      <c r="P55" s="2"/>
      <c r="Q55" s="87"/>
      <c r="R55" s="53"/>
      <c r="S55" s="87"/>
      <c r="T55" s="87"/>
    </row>
    <row r="56" spans="1:22" ht="15.75" thickBot="1" x14ac:dyDescent="0.4">
      <c r="A56" s="1" t="s">
        <v>90</v>
      </c>
      <c r="C56" s="2"/>
      <c r="D56" s="2"/>
      <c r="E56" s="88">
        <f>E55+E53</f>
        <v>10092950</v>
      </c>
      <c r="F56" s="2"/>
      <c r="G56" s="2"/>
      <c r="H56" s="87"/>
      <c r="I56" s="2"/>
      <c r="J56" s="2"/>
      <c r="K56" s="87"/>
      <c r="L56" s="2"/>
      <c r="M56" s="2"/>
      <c r="N56" s="88">
        <v>8794943</v>
      </c>
      <c r="O56" s="2"/>
      <c r="P56" s="2"/>
      <c r="Q56" s="87"/>
      <c r="R56" s="53"/>
      <c r="S56" s="87"/>
      <c r="T56" s="87"/>
    </row>
    <row r="57" spans="1:22" ht="13.5" thickTop="1" x14ac:dyDescent="0.2">
      <c r="A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53"/>
    </row>
    <row r="58" spans="1:22" x14ac:dyDescent="0.2">
      <c r="A58" s="1"/>
      <c r="C58" s="2"/>
      <c r="D58" s="55" t="s">
        <v>83</v>
      </c>
      <c r="E58" s="2"/>
      <c r="F58" s="2"/>
      <c r="G58" s="55" t="s">
        <v>83</v>
      </c>
      <c r="H58" s="2"/>
      <c r="I58" s="2"/>
      <c r="J58" s="2"/>
      <c r="K58" s="2"/>
      <c r="L58" s="2"/>
      <c r="M58" s="100" t="s">
        <v>128</v>
      </c>
      <c r="N58" s="2"/>
      <c r="O58" s="2"/>
      <c r="P58" s="2"/>
      <c r="Q58" s="55" t="s">
        <v>73</v>
      </c>
      <c r="R58" s="53"/>
      <c r="S58" s="57" t="s">
        <v>75</v>
      </c>
      <c r="T58" s="57" t="s">
        <v>75</v>
      </c>
    </row>
    <row r="59" spans="1:22" x14ac:dyDescent="0.2">
      <c r="A59" s="1"/>
      <c r="C59" s="2"/>
      <c r="D59" s="78" t="s">
        <v>84</v>
      </c>
      <c r="E59" s="2"/>
      <c r="F59" s="2"/>
      <c r="G59" s="78" t="s">
        <v>84</v>
      </c>
      <c r="H59" s="2"/>
      <c r="I59" s="2"/>
      <c r="J59" s="2"/>
      <c r="K59" s="2"/>
      <c r="L59" s="2"/>
      <c r="M59" s="101">
        <v>2023</v>
      </c>
      <c r="N59" s="2"/>
      <c r="O59" s="2"/>
      <c r="P59" s="2"/>
      <c r="Q59" s="78" t="s">
        <v>64</v>
      </c>
      <c r="R59" s="115" t="s">
        <v>68</v>
      </c>
      <c r="S59" s="58" t="s">
        <v>76</v>
      </c>
      <c r="T59" s="58" t="s">
        <v>96</v>
      </c>
    </row>
    <row r="60" spans="1:22" x14ac:dyDescent="0.2">
      <c r="A60" s="32" t="s">
        <v>21</v>
      </c>
      <c r="B60" s="34"/>
      <c r="C60" s="13"/>
      <c r="D60" s="79" t="s">
        <v>65</v>
      </c>
      <c r="E60" s="34"/>
      <c r="F60" s="34"/>
      <c r="G60" s="79" t="s">
        <v>64</v>
      </c>
      <c r="H60" s="13"/>
      <c r="I60" s="34"/>
      <c r="J60" s="4" t="s">
        <v>66</v>
      </c>
      <c r="K60" s="13"/>
      <c r="L60" s="34"/>
      <c r="M60" s="79" t="s">
        <v>65</v>
      </c>
      <c r="N60" s="13"/>
      <c r="O60" s="34"/>
      <c r="P60" s="34"/>
      <c r="Q60" s="79"/>
      <c r="R60" s="116"/>
      <c r="S60" s="59" t="s">
        <v>77</v>
      </c>
      <c r="T60" s="59" t="s">
        <v>110</v>
      </c>
    </row>
    <row r="61" spans="1:22" x14ac:dyDescent="0.2">
      <c r="A61" s="35"/>
      <c r="B61" s="35"/>
      <c r="C61" s="36"/>
      <c r="D61" s="13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5"/>
      <c r="Q61" s="36"/>
      <c r="R61" s="50"/>
      <c r="S61" s="65"/>
      <c r="T61" s="65"/>
    </row>
    <row r="62" spans="1:22" x14ac:dyDescent="0.2">
      <c r="A62" s="35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5"/>
      <c r="Q62" s="36"/>
      <c r="R62" s="50"/>
      <c r="S62" s="65"/>
      <c r="T62" s="65"/>
    </row>
    <row r="63" spans="1:22" x14ac:dyDescent="0.2">
      <c r="A63" s="35" t="s">
        <v>23</v>
      </c>
      <c r="B63" s="35"/>
      <c r="C63" s="36"/>
      <c r="D63" s="37">
        <f>478+2527+4559</f>
        <v>7564</v>
      </c>
      <c r="E63" s="36"/>
      <c r="F63" s="36"/>
      <c r="G63" s="37">
        <f>(Q63/12)*2</f>
        <v>8000</v>
      </c>
      <c r="H63" s="36"/>
      <c r="I63" s="36"/>
      <c r="J63" s="37">
        <f>Q63-D63</f>
        <v>40436</v>
      </c>
      <c r="K63" s="36"/>
      <c r="L63" s="36"/>
      <c r="M63" s="37">
        <v>6173</v>
      </c>
      <c r="N63" s="36"/>
      <c r="O63" s="36"/>
      <c r="P63" s="35"/>
      <c r="Q63" s="37">
        <v>48000</v>
      </c>
      <c r="R63" s="54">
        <f>D63/Q63</f>
        <v>0.15758333333333333</v>
      </c>
      <c r="S63" s="66">
        <f>M63-Q63</f>
        <v>-41827</v>
      </c>
      <c r="T63" s="66">
        <f>D63-G63</f>
        <v>-436</v>
      </c>
    </row>
    <row r="64" spans="1:22" x14ac:dyDescent="0.2">
      <c r="A64" s="35" t="s">
        <v>1</v>
      </c>
      <c r="B64" s="35"/>
      <c r="C64" s="36"/>
      <c r="D64" s="36">
        <f>203+454+106</f>
        <v>763</v>
      </c>
      <c r="E64" s="36"/>
      <c r="F64" s="36"/>
      <c r="G64" s="85">
        <f>(Q64/12)*2</f>
        <v>3616.6666666666665</v>
      </c>
      <c r="H64" s="36"/>
      <c r="I64" s="36"/>
      <c r="J64" s="36">
        <f>Q64-D64</f>
        <v>20937</v>
      </c>
      <c r="K64" s="36"/>
      <c r="L64" s="36"/>
      <c r="M64" s="36">
        <v>1035</v>
      </c>
      <c r="N64" s="36"/>
      <c r="O64" s="36"/>
      <c r="P64" s="35"/>
      <c r="Q64" s="36">
        <v>21700</v>
      </c>
      <c r="R64" s="54">
        <f>D64/Q64</f>
        <v>3.5161290322580648E-2</v>
      </c>
      <c r="S64" s="67">
        <f>M64-Q64</f>
        <v>-20665</v>
      </c>
      <c r="T64" s="67">
        <f>D64-G64</f>
        <v>-2853.6666666666665</v>
      </c>
    </row>
    <row r="65" spans="1:20" x14ac:dyDescent="0.2">
      <c r="A65" s="35" t="s">
        <v>12</v>
      </c>
      <c r="B65" s="35"/>
      <c r="C65" s="36"/>
      <c r="D65" s="36">
        <v>0</v>
      </c>
      <c r="E65" s="36"/>
      <c r="F65" s="36"/>
      <c r="G65" s="85">
        <f t="shared" ref="G65:G83" si="9">(Q65/12)*2</f>
        <v>958.33333333333337</v>
      </c>
      <c r="H65" s="36"/>
      <c r="I65" s="36"/>
      <c r="J65" s="36">
        <f>Q65-D65</f>
        <v>5750</v>
      </c>
      <c r="K65" s="36"/>
      <c r="L65" s="36"/>
      <c r="M65" s="36">
        <v>0</v>
      </c>
      <c r="N65" s="36"/>
      <c r="O65" s="36"/>
      <c r="P65" s="35"/>
      <c r="Q65" s="36">
        <v>5750</v>
      </c>
      <c r="R65" s="54">
        <f>D65/Q65</f>
        <v>0</v>
      </c>
      <c r="S65" s="67">
        <f>M65-Q65</f>
        <v>-5750</v>
      </c>
      <c r="T65" s="67">
        <f t="shared" ref="T65:T83" si="10">D65-G65</f>
        <v>-958.33333333333337</v>
      </c>
    </row>
    <row r="66" spans="1:20" x14ac:dyDescent="0.2">
      <c r="A66" s="35" t="s">
        <v>0</v>
      </c>
      <c r="B66" s="35"/>
      <c r="C66" s="36"/>
      <c r="D66" s="36">
        <f>2926+3128+2934+443+513+1912+885+1842+1322</f>
        <v>15905</v>
      </c>
      <c r="E66" s="36"/>
      <c r="F66" s="36"/>
      <c r="G66" s="85">
        <f t="shared" si="9"/>
        <v>31750</v>
      </c>
      <c r="H66" s="36"/>
      <c r="I66" s="36"/>
      <c r="J66" s="36">
        <f>Q66-D66</f>
        <v>174595</v>
      </c>
      <c r="K66" s="36"/>
      <c r="L66" s="36"/>
      <c r="M66" s="36">
        <v>22846</v>
      </c>
      <c r="N66" s="36"/>
      <c r="O66" s="36"/>
      <c r="P66" s="35"/>
      <c r="Q66" s="36">
        <v>190500</v>
      </c>
      <c r="R66" s="54">
        <f>D66/Q66</f>
        <v>8.3490813648293957E-2</v>
      </c>
      <c r="S66" s="67">
        <f>M66-Q66</f>
        <v>-167654</v>
      </c>
      <c r="T66" s="67">
        <f t="shared" si="10"/>
        <v>-15845</v>
      </c>
    </row>
    <row r="67" spans="1:20" x14ac:dyDescent="0.2">
      <c r="A67" s="35" t="s">
        <v>81</v>
      </c>
      <c r="B67" s="35"/>
      <c r="C67" s="36"/>
      <c r="D67" s="36">
        <v>66035</v>
      </c>
      <c r="E67" s="36"/>
      <c r="F67" s="36"/>
      <c r="G67" s="85">
        <f t="shared" si="9"/>
        <v>68333.333333333328</v>
      </c>
      <c r="H67" s="36"/>
      <c r="I67" s="36"/>
      <c r="J67" s="36"/>
      <c r="K67" s="36"/>
      <c r="L67" s="36"/>
      <c r="M67" s="36">
        <v>61000</v>
      </c>
      <c r="N67" s="36"/>
      <c r="O67" s="36"/>
      <c r="P67" s="35"/>
      <c r="Q67" s="36">
        <v>410000</v>
      </c>
      <c r="R67" s="54"/>
      <c r="S67" s="67"/>
      <c r="T67" s="67">
        <f t="shared" si="10"/>
        <v>-2298.3333333333285</v>
      </c>
    </row>
    <row r="68" spans="1:20" x14ac:dyDescent="0.2">
      <c r="A68" s="35" t="s">
        <v>113</v>
      </c>
      <c r="B68" s="35"/>
      <c r="C68" s="36"/>
      <c r="D68" s="36">
        <v>1791</v>
      </c>
      <c r="E68" s="36"/>
      <c r="F68" s="36"/>
      <c r="G68" s="85">
        <f t="shared" si="9"/>
        <v>833.33333333333337</v>
      </c>
      <c r="H68" s="36"/>
      <c r="I68" s="36"/>
      <c r="J68" s="36">
        <f t="shared" ref="J68:J86" si="11">Q68-D68</f>
        <v>3209</v>
      </c>
      <c r="K68" s="36"/>
      <c r="L68" s="36"/>
      <c r="M68" s="36">
        <v>0</v>
      </c>
      <c r="N68" s="36"/>
      <c r="O68" s="36"/>
      <c r="P68" s="35"/>
      <c r="Q68" s="36">
        <v>5000</v>
      </c>
      <c r="R68" s="54">
        <f t="shared" ref="R68:R84" si="12">D68/Q68</f>
        <v>0.35820000000000002</v>
      </c>
      <c r="S68" s="67">
        <f t="shared" ref="S68:S86" si="13">M68-Q68</f>
        <v>-5000</v>
      </c>
      <c r="T68" s="67">
        <f t="shared" si="10"/>
        <v>957.66666666666663</v>
      </c>
    </row>
    <row r="69" spans="1:20" x14ac:dyDescent="0.2">
      <c r="A69" s="35" t="s">
        <v>6</v>
      </c>
      <c r="B69" s="35"/>
      <c r="C69" s="36"/>
      <c r="D69" s="36">
        <v>0</v>
      </c>
      <c r="E69" s="36"/>
      <c r="F69" s="36"/>
      <c r="G69" s="85">
        <f t="shared" si="9"/>
        <v>750</v>
      </c>
      <c r="H69" s="36"/>
      <c r="I69" s="36"/>
      <c r="J69" s="36">
        <f t="shared" si="11"/>
        <v>4500</v>
      </c>
      <c r="K69" s="36"/>
      <c r="L69" s="36"/>
      <c r="M69" s="36">
        <v>0</v>
      </c>
      <c r="N69" s="36"/>
      <c r="O69" s="36"/>
      <c r="P69" s="35"/>
      <c r="Q69" s="36">
        <v>4500</v>
      </c>
      <c r="R69" s="54">
        <f t="shared" si="12"/>
        <v>0</v>
      </c>
      <c r="S69" s="67">
        <f t="shared" si="13"/>
        <v>-4500</v>
      </c>
      <c r="T69" s="67">
        <f t="shared" si="10"/>
        <v>-750</v>
      </c>
    </row>
    <row r="70" spans="1:20" x14ac:dyDescent="0.2">
      <c r="A70" s="35" t="s">
        <v>19</v>
      </c>
      <c r="B70" s="35"/>
      <c r="C70" s="36"/>
      <c r="D70" s="36">
        <f>425346+4000</f>
        <v>429346</v>
      </c>
      <c r="E70" s="36"/>
      <c r="F70" s="36"/>
      <c r="G70" s="85">
        <f t="shared" si="9"/>
        <v>480867.16666666669</v>
      </c>
      <c r="H70" s="36"/>
      <c r="I70" s="36"/>
      <c r="J70" s="36">
        <f t="shared" si="11"/>
        <v>2455857</v>
      </c>
      <c r="K70" s="36"/>
      <c r="L70" s="36"/>
      <c r="M70" s="36">
        <v>303036</v>
      </c>
      <c r="N70" s="36"/>
      <c r="O70" s="36"/>
      <c r="P70" s="36"/>
      <c r="Q70" s="36">
        <v>2885203</v>
      </c>
      <c r="R70" s="54">
        <f t="shared" si="12"/>
        <v>0.14880963315232931</v>
      </c>
      <c r="S70" s="67">
        <f t="shared" si="13"/>
        <v>-2582167</v>
      </c>
      <c r="T70" s="67">
        <f t="shared" si="10"/>
        <v>-51521.166666666686</v>
      </c>
    </row>
    <row r="71" spans="1:20" x14ac:dyDescent="0.2">
      <c r="A71" s="35" t="s">
        <v>2</v>
      </c>
      <c r="B71" s="35"/>
      <c r="C71" s="36"/>
      <c r="D71" s="36">
        <v>16681</v>
      </c>
      <c r="E71" s="36"/>
      <c r="F71" s="36"/>
      <c r="G71" s="85">
        <f t="shared" si="9"/>
        <v>18333.333333333332</v>
      </c>
      <c r="H71" s="36"/>
      <c r="I71" s="36"/>
      <c r="J71" s="36">
        <f t="shared" si="11"/>
        <v>93319</v>
      </c>
      <c r="K71" s="36"/>
      <c r="L71" s="36"/>
      <c r="M71" s="36">
        <v>17208</v>
      </c>
      <c r="N71" s="36"/>
      <c r="O71" s="36"/>
      <c r="P71" s="35"/>
      <c r="Q71" s="36">
        <v>110000</v>
      </c>
      <c r="R71" s="54">
        <f t="shared" si="12"/>
        <v>0.15164545454545456</v>
      </c>
      <c r="S71" s="67">
        <f t="shared" si="13"/>
        <v>-92792</v>
      </c>
      <c r="T71" s="67">
        <f t="shared" si="10"/>
        <v>-1652.3333333333321</v>
      </c>
    </row>
    <row r="72" spans="1:20" x14ac:dyDescent="0.2">
      <c r="A72" s="35" t="s">
        <v>3</v>
      </c>
      <c r="B72" s="35"/>
      <c r="C72" s="36"/>
      <c r="D72" s="36">
        <v>1794</v>
      </c>
      <c r="E72" s="36"/>
      <c r="F72" s="36"/>
      <c r="G72" s="85">
        <f t="shared" si="9"/>
        <v>4166.666666666667</v>
      </c>
      <c r="H72" s="36"/>
      <c r="I72" s="36"/>
      <c r="J72" s="36">
        <f t="shared" si="11"/>
        <v>23206</v>
      </c>
      <c r="K72" s="36"/>
      <c r="L72" s="36"/>
      <c r="M72" s="36">
        <v>3193</v>
      </c>
      <c r="N72" s="36"/>
      <c r="O72" s="36"/>
      <c r="P72" s="35"/>
      <c r="Q72" s="36">
        <v>25000</v>
      </c>
      <c r="R72" s="54">
        <f t="shared" si="12"/>
        <v>7.1760000000000004E-2</v>
      </c>
      <c r="S72" s="67">
        <f t="shared" si="13"/>
        <v>-21807</v>
      </c>
      <c r="T72" s="67">
        <f t="shared" si="10"/>
        <v>-2372.666666666667</v>
      </c>
    </row>
    <row r="73" spans="1:20" x14ac:dyDescent="0.2">
      <c r="A73" s="35" t="s">
        <v>13</v>
      </c>
      <c r="B73" s="35"/>
      <c r="C73" s="36"/>
      <c r="D73" s="36">
        <v>118</v>
      </c>
      <c r="E73" s="36"/>
      <c r="F73" s="36"/>
      <c r="G73" s="85">
        <f t="shared" si="9"/>
        <v>250</v>
      </c>
      <c r="H73" s="36"/>
      <c r="I73" s="36"/>
      <c r="J73" s="36">
        <f t="shared" si="11"/>
        <v>1382</v>
      </c>
      <c r="K73" s="36"/>
      <c r="L73" s="36"/>
      <c r="M73" s="36">
        <v>97</v>
      </c>
      <c r="N73" s="36"/>
      <c r="O73" s="36"/>
      <c r="P73" s="35"/>
      <c r="Q73" s="36">
        <v>1500</v>
      </c>
      <c r="R73" s="54">
        <f t="shared" si="12"/>
        <v>7.8666666666666663E-2</v>
      </c>
      <c r="S73" s="67">
        <f t="shared" si="13"/>
        <v>-1403</v>
      </c>
      <c r="T73" s="67">
        <f t="shared" si="10"/>
        <v>-132</v>
      </c>
    </row>
    <row r="74" spans="1:20" x14ac:dyDescent="0.2">
      <c r="A74" s="35" t="s">
        <v>14</v>
      </c>
      <c r="B74" s="35"/>
      <c r="C74" s="36"/>
      <c r="D74" s="36">
        <v>5491</v>
      </c>
      <c r="E74" s="36"/>
      <c r="F74" s="36"/>
      <c r="G74" s="85">
        <f t="shared" si="9"/>
        <v>5333.333333333333</v>
      </c>
      <c r="H74" s="36"/>
      <c r="I74" s="36"/>
      <c r="J74" s="36">
        <f t="shared" si="11"/>
        <v>26509</v>
      </c>
      <c r="K74" s="36"/>
      <c r="L74" s="36"/>
      <c r="M74" s="36">
        <v>5610</v>
      </c>
      <c r="N74" s="36"/>
      <c r="O74" s="36"/>
      <c r="P74" s="35"/>
      <c r="Q74" s="36">
        <v>32000</v>
      </c>
      <c r="R74" s="54">
        <f t="shared" si="12"/>
        <v>0.17159374999999999</v>
      </c>
      <c r="S74" s="67">
        <f t="shared" si="13"/>
        <v>-26390</v>
      </c>
      <c r="T74" s="67">
        <f t="shared" si="10"/>
        <v>157.66666666666697</v>
      </c>
    </row>
    <row r="75" spans="1:20" x14ac:dyDescent="0.2">
      <c r="A75" s="35" t="s">
        <v>85</v>
      </c>
      <c r="B75" s="35"/>
      <c r="C75" s="36"/>
      <c r="D75" s="36">
        <v>447</v>
      </c>
      <c r="E75" s="36"/>
      <c r="F75" s="36"/>
      <c r="G75" s="85">
        <f t="shared" si="9"/>
        <v>250</v>
      </c>
      <c r="H75" s="36"/>
      <c r="I75" s="36"/>
      <c r="J75" s="36">
        <f t="shared" si="11"/>
        <v>1053</v>
      </c>
      <c r="K75" s="36"/>
      <c r="L75" s="36"/>
      <c r="M75" s="36">
        <v>102</v>
      </c>
      <c r="N75" s="36"/>
      <c r="O75" s="36"/>
      <c r="P75" s="35"/>
      <c r="Q75" s="36">
        <v>1500</v>
      </c>
      <c r="R75" s="54">
        <f t="shared" si="12"/>
        <v>0.29799999999999999</v>
      </c>
      <c r="S75" s="67">
        <f t="shared" si="13"/>
        <v>-1398</v>
      </c>
      <c r="T75" s="67">
        <f t="shared" si="10"/>
        <v>197</v>
      </c>
    </row>
    <row r="76" spans="1:20" x14ac:dyDescent="0.2">
      <c r="A76" s="35" t="s">
        <v>86</v>
      </c>
      <c r="B76" s="35"/>
      <c r="C76" s="36"/>
      <c r="D76" s="36">
        <v>0</v>
      </c>
      <c r="E76" s="36"/>
      <c r="F76" s="36"/>
      <c r="G76" s="85">
        <f t="shared" si="9"/>
        <v>833.33333333333337</v>
      </c>
      <c r="H76" s="36"/>
      <c r="I76" s="36"/>
      <c r="J76" s="36">
        <f t="shared" si="11"/>
        <v>5000</v>
      </c>
      <c r="K76" s="36"/>
      <c r="L76" s="36"/>
      <c r="M76" s="36">
        <v>0</v>
      </c>
      <c r="N76" s="36"/>
      <c r="O76" s="36"/>
      <c r="P76" s="35"/>
      <c r="Q76" s="36">
        <v>5000</v>
      </c>
      <c r="R76" s="54">
        <f t="shared" si="12"/>
        <v>0</v>
      </c>
      <c r="S76" s="67">
        <f t="shared" si="13"/>
        <v>-5000</v>
      </c>
      <c r="T76" s="67">
        <f t="shared" si="10"/>
        <v>-833.33333333333337</v>
      </c>
    </row>
    <row r="77" spans="1:20" x14ac:dyDescent="0.2">
      <c r="A77" s="35" t="s">
        <v>15</v>
      </c>
      <c r="B77" s="35"/>
      <c r="C77" s="36"/>
      <c r="D77" s="36">
        <v>1301</v>
      </c>
      <c r="E77" s="36"/>
      <c r="F77" s="36"/>
      <c r="G77" s="85">
        <f t="shared" si="9"/>
        <v>1416.6666666666667</v>
      </c>
      <c r="H77" s="36"/>
      <c r="I77" s="36"/>
      <c r="J77" s="36">
        <f t="shared" si="11"/>
        <v>7199</v>
      </c>
      <c r="K77" s="36"/>
      <c r="L77" s="36"/>
      <c r="M77" s="36">
        <v>2735</v>
      </c>
      <c r="N77" s="36"/>
      <c r="O77" s="36"/>
      <c r="P77" s="35"/>
      <c r="Q77" s="36">
        <v>8500</v>
      </c>
      <c r="R77" s="54">
        <f t="shared" si="12"/>
        <v>0.15305882352941177</v>
      </c>
      <c r="S77" s="67">
        <f t="shared" si="13"/>
        <v>-5765</v>
      </c>
      <c r="T77" s="67">
        <f t="shared" si="10"/>
        <v>-115.66666666666674</v>
      </c>
    </row>
    <row r="78" spans="1:20" x14ac:dyDescent="0.2">
      <c r="A78" s="35" t="s">
        <v>87</v>
      </c>
      <c r="B78" s="35"/>
      <c r="C78" s="36"/>
      <c r="D78" s="36">
        <v>42</v>
      </c>
      <c r="E78" s="36"/>
      <c r="F78" s="36"/>
      <c r="G78" s="85">
        <f t="shared" si="9"/>
        <v>250</v>
      </c>
      <c r="H78" s="36"/>
      <c r="I78" s="36"/>
      <c r="J78" s="36">
        <f t="shared" si="11"/>
        <v>1458</v>
      </c>
      <c r="K78" s="36"/>
      <c r="L78" s="36"/>
      <c r="M78" s="36">
        <v>88</v>
      </c>
      <c r="N78" s="36"/>
      <c r="O78" s="36"/>
      <c r="P78" s="35"/>
      <c r="Q78" s="36">
        <v>1500</v>
      </c>
      <c r="R78" s="54">
        <f t="shared" si="12"/>
        <v>2.8000000000000001E-2</v>
      </c>
      <c r="S78" s="67">
        <f t="shared" si="13"/>
        <v>-1412</v>
      </c>
      <c r="T78" s="67">
        <f t="shared" si="10"/>
        <v>-208</v>
      </c>
    </row>
    <row r="79" spans="1:20" x14ac:dyDescent="0.2">
      <c r="A79" s="35" t="s">
        <v>5</v>
      </c>
      <c r="B79" s="35"/>
      <c r="C79" s="36"/>
      <c r="D79" s="36">
        <v>1938</v>
      </c>
      <c r="E79" s="36"/>
      <c r="F79" s="36"/>
      <c r="G79" s="85">
        <f t="shared" si="9"/>
        <v>1333.3333333333333</v>
      </c>
      <c r="H79" s="36"/>
      <c r="I79" s="36"/>
      <c r="J79" s="36">
        <f t="shared" si="11"/>
        <v>6062</v>
      </c>
      <c r="K79" s="36"/>
      <c r="L79" s="36"/>
      <c r="M79" s="36">
        <v>733</v>
      </c>
      <c r="N79" s="36"/>
      <c r="O79" s="36"/>
      <c r="P79" s="35"/>
      <c r="Q79" s="36">
        <v>8000</v>
      </c>
      <c r="R79" s="54">
        <f t="shared" si="12"/>
        <v>0.24224999999999999</v>
      </c>
      <c r="S79" s="67">
        <f t="shared" si="13"/>
        <v>-7267</v>
      </c>
      <c r="T79" s="67">
        <f t="shared" si="10"/>
        <v>604.66666666666674</v>
      </c>
    </row>
    <row r="80" spans="1:20" x14ac:dyDescent="0.2">
      <c r="A80" s="38" t="s">
        <v>32</v>
      </c>
      <c r="B80" s="35"/>
      <c r="C80" s="36"/>
      <c r="D80" s="36">
        <v>0</v>
      </c>
      <c r="E80" s="36"/>
      <c r="F80" s="36"/>
      <c r="G80" s="85">
        <f t="shared" si="9"/>
        <v>3833.3333333333335</v>
      </c>
      <c r="H80" s="36"/>
      <c r="I80" s="36"/>
      <c r="J80" s="36">
        <f t="shared" si="11"/>
        <v>23000</v>
      </c>
      <c r="K80" s="36"/>
      <c r="L80" s="36"/>
      <c r="M80" s="36">
        <v>0</v>
      </c>
      <c r="N80" s="36"/>
      <c r="O80" s="36"/>
      <c r="P80" s="35"/>
      <c r="Q80" s="36">
        <v>23000</v>
      </c>
      <c r="R80" s="54">
        <f t="shared" si="12"/>
        <v>0</v>
      </c>
      <c r="S80" s="67">
        <f t="shared" si="13"/>
        <v>-23000</v>
      </c>
      <c r="T80" s="67">
        <f t="shared" si="10"/>
        <v>-3833.3333333333335</v>
      </c>
    </row>
    <row r="81" spans="1:22" x14ac:dyDescent="0.2">
      <c r="A81" s="35" t="s">
        <v>16</v>
      </c>
      <c r="B81" s="35"/>
      <c r="C81" s="36"/>
      <c r="D81" s="36">
        <v>15423</v>
      </c>
      <c r="E81" s="36"/>
      <c r="F81" s="36"/>
      <c r="G81" s="85">
        <f t="shared" si="9"/>
        <v>10000</v>
      </c>
      <c r="H81" s="36"/>
      <c r="I81" s="36"/>
      <c r="J81" s="36">
        <f t="shared" si="11"/>
        <v>44577</v>
      </c>
      <c r="K81" s="36"/>
      <c r="L81" s="36"/>
      <c r="M81" s="36">
        <v>10660</v>
      </c>
      <c r="N81" s="36"/>
      <c r="O81" s="36"/>
      <c r="P81" s="35"/>
      <c r="Q81" s="36">
        <v>60000</v>
      </c>
      <c r="R81" s="54">
        <f t="shared" si="12"/>
        <v>0.25705</v>
      </c>
      <c r="S81" s="67">
        <f t="shared" si="13"/>
        <v>-49340</v>
      </c>
      <c r="T81" s="67">
        <f t="shared" si="10"/>
        <v>5423</v>
      </c>
    </row>
    <row r="82" spans="1:22" x14ac:dyDescent="0.2">
      <c r="A82" s="35" t="s">
        <v>17</v>
      </c>
      <c r="B82" s="35"/>
      <c r="C82" s="36"/>
      <c r="D82" s="36">
        <v>208</v>
      </c>
      <c r="E82" s="36"/>
      <c r="F82" s="36"/>
      <c r="G82" s="85">
        <f t="shared" si="9"/>
        <v>500</v>
      </c>
      <c r="H82" s="36"/>
      <c r="I82" s="36"/>
      <c r="J82" s="36">
        <f t="shared" si="11"/>
        <v>2792</v>
      </c>
      <c r="K82" s="36"/>
      <c r="L82" s="36"/>
      <c r="M82" s="36">
        <v>118</v>
      </c>
      <c r="N82" s="36"/>
      <c r="O82" s="36"/>
      <c r="P82" s="35"/>
      <c r="Q82" s="36">
        <v>3000</v>
      </c>
      <c r="R82" s="52">
        <f t="shared" si="12"/>
        <v>6.933333333333333E-2</v>
      </c>
      <c r="S82" s="67">
        <f t="shared" si="13"/>
        <v>-2882</v>
      </c>
      <c r="T82" s="67">
        <f t="shared" si="10"/>
        <v>-292</v>
      </c>
    </row>
    <row r="83" spans="1:22" x14ac:dyDescent="0.2">
      <c r="A83" s="35" t="s">
        <v>18</v>
      </c>
      <c r="B83" s="35"/>
      <c r="C83" s="36"/>
      <c r="D83" s="36">
        <v>1668</v>
      </c>
      <c r="E83" s="36"/>
      <c r="F83" s="36"/>
      <c r="G83" s="85">
        <f t="shared" si="9"/>
        <v>500</v>
      </c>
      <c r="H83" s="36"/>
      <c r="I83" s="36"/>
      <c r="J83" s="36">
        <f t="shared" si="11"/>
        <v>1332</v>
      </c>
      <c r="K83" s="36"/>
      <c r="L83" s="36"/>
      <c r="M83" s="36">
        <v>0</v>
      </c>
      <c r="N83" s="36"/>
      <c r="O83" s="36"/>
      <c r="P83" s="35"/>
      <c r="Q83" s="36">
        <v>3000</v>
      </c>
      <c r="R83" s="52">
        <f t="shared" si="12"/>
        <v>0.55600000000000005</v>
      </c>
      <c r="S83" s="67">
        <f t="shared" si="13"/>
        <v>-3000</v>
      </c>
      <c r="T83" s="67">
        <f t="shared" si="10"/>
        <v>1168</v>
      </c>
    </row>
    <row r="84" spans="1:22" ht="15" x14ac:dyDescent="0.35">
      <c r="A84" s="35" t="s">
        <v>30</v>
      </c>
      <c r="B84" s="35"/>
      <c r="C84" s="36"/>
      <c r="D84" s="72">
        <v>230</v>
      </c>
      <c r="E84" s="36"/>
      <c r="F84" s="36"/>
      <c r="G84" s="86">
        <f>(Q84/12)*2</f>
        <v>0</v>
      </c>
      <c r="H84" s="36"/>
      <c r="I84" s="36"/>
      <c r="J84" s="36">
        <f t="shared" si="11"/>
        <v>-230</v>
      </c>
      <c r="K84" s="36"/>
      <c r="L84" s="36"/>
      <c r="M84" s="72">
        <v>250</v>
      </c>
      <c r="N84" s="36"/>
      <c r="O84" s="36"/>
      <c r="P84" s="35"/>
      <c r="Q84" s="80">
        <v>0</v>
      </c>
      <c r="R84" s="81" t="e">
        <f t="shared" si="12"/>
        <v>#DIV/0!</v>
      </c>
      <c r="S84" s="75">
        <f t="shared" si="13"/>
        <v>250</v>
      </c>
      <c r="T84" s="75">
        <f>D84-G84</f>
        <v>230</v>
      </c>
    </row>
    <row r="85" spans="1:22" hidden="1" x14ac:dyDescent="0.2">
      <c r="A85" s="35" t="s">
        <v>71</v>
      </c>
      <c r="B85" s="35"/>
      <c r="C85" s="36"/>
      <c r="D85" s="36">
        <v>0</v>
      </c>
      <c r="E85" s="36"/>
      <c r="F85" s="36"/>
      <c r="G85" s="36">
        <v>0</v>
      </c>
      <c r="H85" s="36"/>
      <c r="I85" s="36"/>
      <c r="J85" s="36">
        <f t="shared" si="11"/>
        <v>0</v>
      </c>
      <c r="K85" s="36"/>
      <c r="L85" s="36"/>
      <c r="M85" s="36">
        <v>0</v>
      </c>
      <c r="N85" s="36"/>
      <c r="O85" s="36"/>
      <c r="P85" s="35"/>
      <c r="Q85" s="13">
        <v>0</v>
      </c>
      <c r="R85" s="52">
        <v>0</v>
      </c>
      <c r="S85" s="67">
        <f t="shared" si="13"/>
        <v>0</v>
      </c>
      <c r="T85" s="67">
        <f>D85-G85</f>
        <v>0</v>
      </c>
    </row>
    <row r="86" spans="1:22" ht="15" hidden="1" x14ac:dyDescent="0.35">
      <c r="A86" t="s">
        <v>72</v>
      </c>
      <c r="B86" s="35"/>
      <c r="C86" s="36"/>
      <c r="D86" s="51">
        <v>0</v>
      </c>
      <c r="E86" s="36"/>
      <c r="F86" s="36"/>
      <c r="G86" s="51">
        <v>0</v>
      </c>
      <c r="H86" s="36"/>
      <c r="I86" s="36"/>
      <c r="J86" s="72">
        <f t="shared" si="11"/>
        <v>0</v>
      </c>
      <c r="K86" s="36"/>
      <c r="L86" s="36"/>
      <c r="M86" s="51">
        <v>0</v>
      </c>
      <c r="N86" s="36"/>
      <c r="O86" s="36"/>
      <c r="P86" s="35"/>
      <c r="Q86" s="49">
        <v>0</v>
      </c>
      <c r="R86" s="52">
        <v>0</v>
      </c>
      <c r="S86" s="68">
        <f t="shared" si="13"/>
        <v>0</v>
      </c>
      <c r="T86" s="75">
        <f>D86-G86</f>
        <v>0</v>
      </c>
    </row>
    <row r="87" spans="1:22" x14ac:dyDescent="0.2">
      <c r="A87" s="35"/>
      <c r="B87" s="35"/>
      <c r="C87" s="36"/>
      <c r="D87" s="13"/>
      <c r="E87" s="36"/>
      <c r="F87" s="36"/>
      <c r="G87" s="37"/>
      <c r="H87" s="36"/>
      <c r="I87" s="36"/>
      <c r="J87" s="37"/>
      <c r="K87" s="36"/>
      <c r="L87" s="36"/>
      <c r="M87" s="13"/>
      <c r="N87" s="36"/>
      <c r="O87" s="36"/>
      <c r="P87" s="35"/>
      <c r="Q87" s="41"/>
      <c r="R87" s="54"/>
      <c r="S87" s="65"/>
      <c r="T87" s="65"/>
    </row>
    <row r="88" spans="1:22" ht="15" x14ac:dyDescent="0.35">
      <c r="A88" s="35"/>
      <c r="B88" s="35"/>
      <c r="C88" s="36"/>
      <c r="D88" s="39">
        <f>SUM(D63:D87)</f>
        <v>566745</v>
      </c>
      <c r="E88" s="36"/>
      <c r="F88" s="36"/>
      <c r="G88" s="39">
        <f>SUM(G63:G86)</f>
        <v>642108.83333333349</v>
      </c>
      <c r="H88" s="36"/>
      <c r="I88" s="36"/>
      <c r="J88" s="39">
        <f>SUM(J63:J86)</f>
        <v>2941943</v>
      </c>
      <c r="K88" s="36"/>
      <c r="L88" s="36"/>
      <c r="M88" s="39">
        <v>434884</v>
      </c>
      <c r="N88" s="36"/>
      <c r="O88" s="36"/>
      <c r="P88" s="35"/>
      <c r="Q88" s="39">
        <f>SUM(Q63:Q86)</f>
        <v>3852653</v>
      </c>
      <c r="R88" s="54">
        <f>D88/Q88</f>
        <v>0.14710512470238041</v>
      </c>
      <c r="S88" s="69">
        <f>SUM(S63:S86)</f>
        <v>-3068769</v>
      </c>
      <c r="T88" s="69">
        <f>SUM(T63:T86)</f>
        <v>-75363.833333333328</v>
      </c>
      <c r="V88" s="104"/>
    </row>
    <row r="89" spans="1:22" ht="15" x14ac:dyDescent="0.35">
      <c r="A89" s="35"/>
      <c r="B89" s="35"/>
      <c r="C89" s="36"/>
      <c r="D89" s="36"/>
      <c r="E89" s="36"/>
      <c r="F89" s="36"/>
      <c r="G89" s="39"/>
      <c r="H89" s="36"/>
      <c r="I89" s="36"/>
      <c r="J89" s="39"/>
      <c r="K89" s="36"/>
      <c r="L89" s="36"/>
      <c r="M89" s="36"/>
      <c r="N89" s="36"/>
      <c r="O89" s="36"/>
      <c r="P89" s="35"/>
      <c r="Q89" s="39"/>
      <c r="R89" s="54"/>
      <c r="S89" s="65"/>
      <c r="T89" s="65"/>
    </row>
    <row r="90" spans="1:22" ht="15" x14ac:dyDescent="0.35">
      <c r="A90" s="35" t="s">
        <v>4</v>
      </c>
      <c r="B90" s="35"/>
      <c r="C90" s="36"/>
      <c r="D90" s="39">
        <v>1600</v>
      </c>
      <c r="E90" s="36"/>
      <c r="F90" s="36"/>
      <c r="G90" s="39">
        <f>10000/12*2</f>
        <v>1666.6666666666667</v>
      </c>
      <c r="H90" s="36"/>
      <c r="I90" s="36"/>
      <c r="J90" s="39">
        <f>Q90-D90</f>
        <v>8400</v>
      </c>
      <c r="K90" s="36"/>
      <c r="L90" s="36"/>
      <c r="M90" s="39">
        <v>1600</v>
      </c>
      <c r="N90" s="36"/>
      <c r="O90" s="36"/>
      <c r="P90" s="35"/>
      <c r="Q90" s="39">
        <v>10000</v>
      </c>
      <c r="R90" s="54">
        <f>D90/Q90</f>
        <v>0.16</v>
      </c>
      <c r="S90" s="70">
        <v>0</v>
      </c>
      <c r="T90" s="76">
        <f>D90-G90</f>
        <v>-66.666666666666742</v>
      </c>
    </row>
  </sheetData>
  <mergeCells count="8">
    <mergeCell ref="R59:R60"/>
    <mergeCell ref="R5:R6"/>
    <mergeCell ref="C4:E4"/>
    <mergeCell ref="F4:H4"/>
    <mergeCell ref="I4:K4"/>
    <mergeCell ref="O5:P5"/>
    <mergeCell ref="O4:Q4"/>
    <mergeCell ref="L4:N4"/>
  </mergeCells>
  <phoneticPr fontId="13" type="noConversion"/>
  <pageMargins left="0" right="0" top="0.51" bottom="0.62" header="0.5" footer="0.5"/>
  <pageSetup scale="65" fitToHeight="2" orientation="landscape" r:id="rId1"/>
  <headerFooter alignWithMargins="0"/>
  <rowBreaks count="1" manualBreakCount="1">
    <brk id="5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Balance Sheet</vt:lpstr>
      <vt:lpstr>Income Stmt</vt:lpstr>
      <vt:lpstr>MAIN</vt:lpstr>
      <vt:lpstr>'Balance Sheet'!Print_Area</vt:lpstr>
      <vt:lpstr>'Income Stmt'!Print_Area</vt:lpstr>
    </vt:vector>
  </TitlesOfParts>
  <Company>Crutchley, Marginot &amp; Tosi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C. McMichael</dc:creator>
  <cp:lastModifiedBy>gordonb@aahomecare1.onmicrosoft.com</cp:lastModifiedBy>
  <cp:lastPrinted>2024-03-20T17:47:27Z</cp:lastPrinted>
  <dcterms:created xsi:type="dcterms:W3CDTF">1999-09-10T11:27:42Z</dcterms:created>
  <dcterms:modified xsi:type="dcterms:W3CDTF">2024-03-21T15:39:10Z</dcterms:modified>
</cp:coreProperties>
</file>